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6380" windowHeight="8190" tabRatio="841"/>
  </bookViews>
  <sheets>
    <sheet name="фин план" sheetId="1" r:id="rId1"/>
    <sheet name="штатное расписание" sheetId="2" r:id="rId2"/>
    <sheet name="план работ" sheetId="3" r:id="rId3"/>
    <sheet name="Лист1" sheetId="4" r:id="rId4"/>
    <sheet name="Лист2" sheetId="5" r:id="rId5"/>
    <sheet name="Лист3" sheetId="6" r:id="rId6"/>
    <sheet name="Лист4" sheetId="7" r:id="rId7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17" i="1" l="1"/>
  <c r="G14" i="1"/>
  <c r="F14" i="1"/>
  <c r="K14" i="1"/>
  <c r="J14" i="1"/>
  <c r="E15" i="1"/>
  <c r="E14" i="1"/>
  <c r="L14" i="1" l="1"/>
  <c r="E8" i="1"/>
  <c r="E9" i="1"/>
  <c r="E10" i="1"/>
  <c r="E11" i="1"/>
  <c r="E12" i="1"/>
  <c r="E13" i="1"/>
  <c r="E16" i="1"/>
  <c r="E17" i="1"/>
  <c r="E18" i="1"/>
  <c r="E19" i="1"/>
  <c r="E20" i="1"/>
  <c r="B29" i="3"/>
  <c r="J19" i="1"/>
  <c r="J13" i="1"/>
  <c r="J12" i="1"/>
  <c r="J8" i="1"/>
  <c r="E29" i="3"/>
  <c r="F29" i="3" s="1"/>
  <c r="E26" i="3"/>
  <c r="D26" i="3"/>
  <c r="J7" i="1" s="1"/>
  <c r="D21" i="3"/>
  <c r="B11" i="3"/>
  <c r="D15" i="3"/>
  <c r="D10" i="3"/>
  <c r="J11" i="1" s="1"/>
  <c r="B30" i="3"/>
  <c r="F26" i="3" l="1"/>
  <c r="J21" i="1"/>
  <c r="D32" i="3" s="1"/>
  <c r="C21" i="1"/>
  <c r="D21" i="1"/>
  <c r="E21" i="1" s="1"/>
  <c r="K10" i="1"/>
  <c r="L10" i="1" s="1"/>
  <c r="K17" i="1"/>
  <c r="L17" i="1" s="1"/>
  <c r="K20" i="1"/>
  <c r="L20" i="1" s="1"/>
  <c r="K7" i="1"/>
  <c r="B21" i="1"/>
  <c r="C18" i="2"/>
  <c r="E18" i="2" s="1"/>
  <c r="E7" i="1"/>
  <c r="C19" i="2"/>
  <c r="F19" i="2" s="1"/>
  <c r="C15" i="2"/>
  <c r="E15" i="2" s="1"/>
  <c r="F15" i="2" s="1"/>
  <c r="G15" i="2" s="1"/>
  <c r="B27" i="3"/>
  <c r="C11" i="2"/>
  <c r="C12" i="2"/>
  <c r="E12" i="2" s="1"/>
  <c r="C14" i="2"/>
  <c r="E14" i="2" s="1"/>
  <c r="I21" i="1"/>
  <c r="B16" i="3"/>
  <c r="C10" i="2"/>
  <c r="E10" i="2" s="1"/>
  <c r="C6" i="2"/>
  <c r="E6" i="2" s="1"/>
  <c r="F6" i="2" s="1"/>
  <c r="G6" i="2" s="1"/>
  <c r="B6" i="3"/>
  <c r="C5" i="2"/>
  <c r="C7" i="2"/>
  <c r="E7" i="2" s="1"/>
  <c r="C8" i="2"/>
  <c r="E8" i="2" s="1"/>
  <c r="C9" i="2"/>
  <c r="E9" i="2" s="1"/>
  <c r="C13" i="2"/>
  <c r="E13" i="2" s="1"/>
  <c r="C16" i="2"/>
  <c r="E16" i="2" s="1"/>
  <c r="C17" i="2"/>
  <c r="E17" i="2" s="1"/>
  <c r="E19" i="2"/>
  <c r="D20" i="2"/>
  <c r="B20" i="2"/>
  <c r="L7" i="1" l="1"/>
  <c r="F18" i="2"/>
  <c r="G18" i="2" s="1"/>
  <c r="C20" i="2"/>
  <c r="H15" i="2"/>
  <c r="G13" i="1"/>
  <c r="H6" i="2"/>
  <c r="G11" i="1"/>
  <c r="F17" i="2"/>
  <c r="G17" i="2" s="1"/>
  <c r="F16" i="2"/>
  <c r="G16" i="2" s="1"/>
  <c r="F13" i="2"/>
  <c r="G13" i="2" s="1"/>
  <c r="F9" i="2"/>
  <c r="G9" i="2" s="1"/>
  <c r="H9" i="2" s="1"/>
  <c r="F8" i="2"/>
  <c r="G8" i="2" s="1"/>
  <c r="H8" i="2" s="1"/>
  <c r="F7" i="2"/>
  <c r="G7" i="2" s="1"/>
  <c r="H7" i="2" s="1"/>
  <c r="F14" i="2"/>
  <c r="G14" i="2" s="1"/>
  <c r="H14" i="2" s="1"/>
  <c r="F12" i="2"/>
  <c r="G12" i="2" s="1"/>
  <c r="H12" i="2" s="1"/>
  <c r="E11" i="2"/>
  <c r="F11" i="2" s="1"/>
  <c r="G11" i="2" s="1"/>
  <c r="H11" i="2" s="1"/>
  <c r="E5" i="2"/>
  <c r="F5" i="2" s="1"/>
  <c r="G5" i="2" s="1"/>
  <c r="G19" i="2"/>
  <c r="G9" i="1" s="1"/>
  <c r="K9" i="1" s="1"/>
  <c r="L9" i="1" s="1"/>
  <c r="H19" i="2"/>
  <c r="F10" i="2"/>
  <c r="C26" i="1"/>
  <c r="E10" i="3" l="1"/>
  <c r="F10" i="3" s="1"/>
  <c r="K11" i="1"/>
  <c r="L11" i="1" s="1"/>
  <c r="E27" i="3"/>
  <c r="F27" i="3" s="1"/>
  <c r="K13" i="1"/>
  <c r="L13" i="1" s="1"/>
  <c r="H18" i="2"/>
  <c r="H5" i="2"/>
  <c r="G16" i="1"/>
  <c r="K16" i="1" s="1"/>
  <c r="L16" i="1" s="1"/>
  <c r="H17" i="2"/>
  <c r="G18" i="1"/>
  <c r="K18" i="1" s="1"/>
  <c r="L18" i="1" s="1"/>
  <c r="G19" i="1"/>
  <c r="H16" i="2"/>
  <c r="E20" i="2"/>
  <c r="G8" i="1"/>
  <c r="H13" i="2"/>
  <c r="G10" i="2"/>
  <c r="F20" i="2"/>
  <c r="E30" i="3" l="1"/>
  <c r="F30" i="3" s="1"/>
  <c r="K19" i="1"/>
  <c r="L19" i="1" s="1"/>
  <c r="E28" i="3"/>
  <c r="F28" i="3" s="1"/>
  <c r="K8" i="1"/>
  <c r="E21" i="3"/>
  <c r="F21" i="3" s="1"/>
  <c r="K15" i="1"/>
  <c r="L15" i="1" s="1"/>
  <c r="G12" i="1"/>
  <c r="G21" i="1" s="1"/>
  <c r="G22" i="1" s="1"/>
  <c r="H10" i="2"/>
  <c r="G20" i="2"/>
  <c r="E15" i="3" l="1"/>
  <c r="F15" i="3" s="1"/>
  <c r="K12" i="1"/>
  <c r="L12" i="1" s="1"/>
  <c r="L8" i="1"/>
  <c r="G21" i="2"/>
  <c r="G22" i="2" s="1"/>
  <c r="K21" i="1" l="1"/>
  <c r="L21" i="1"/>
</calcChain>
</file>

<file path=xl/sharedStrings.xml><?xml version="1.0" encoding="utf-8"?>
<sst xmlns="http://schemas.openxmlformats.org/spreadsheetml/2006/main" count="117" uniqueCount="106">
  <si>
    <t>(руб)</t>
  </si>
  <si>
    <t xml:space="preserve">наименование оснований начисления платежа </t>
  </si>
  <si>
    <t>расходы тсж</t>
  </si>
  <si>
    <t xml:space="preserve"> расходы на ФОТ по штатному расписанию на 2019 год</t>
  </si>
  <si>
    <t>Всего  расходы  на 2019 год</t>
  </si>
  <si>
    <t>контроль</t>
  </si>
  <si>
    <t>должность по штатному расписанию</t>
  </si>
  <si>
    <t>разница доходы минус расходы</t>
  </si>
  <si>
    <t xml:space="preserve">содержание  придомовой территории  </t>
  </si>
  <si>
    <t>дворник (жилая часть )                                 дворник (нежилая часть)</t>
  </si>
  <si>
    <t>содержание контейнерной площадки</t>
  </si>
  <si>
    <t>уборка мест общего пользования (подъезды, козырьки входов, лифт, комната правления)</t>
  </si>
  <si>
    <t>уборщица</t>
  </si>
  <si>
    <t>моющие средства и хоз.инвентарь (ведра.швабры и т.п.)</t>
  </si>
  <si>
    <t>дератизация (дезинсекция)</t>
  </si>
  <si>
    <t>сумма определена исходя из стоимости услуг по договору со специализированной организацией</t>
  </si>
  <si>
    <t>тех. обслуживание и ремонт жилого здания</t>
  </si>
  <si>
    <t xml:space="preserve">комендант </t>
  </si>
  <si>
    <t>тех. обслуживание и ремонт систем водоснабжения и канализования</t>
  </si>
  <si>
    <t>слесарь-сантехник</t>
  </si>
  <si>
    <t>работы согласно годового плана работ и приобретение расходных материалов для технического обслуживания  систем водоснабжения и канализования(см. на обороте)</t>
  </si>
  <si>
    <t>тех. обслуживание и ремонт электрических сетей и электрооборудования</t>
  </si>
  <si>
    <t xml:space="preserve">электрик </t>
  </si>
  <si>
    <t>тех. обслуживание и ремонт центрального отопления</t>
  </si>
  <si>
    <t>управление домом</t>
  </si>
  <si>
    <t xml:space="preserve"> Связь. Заправка картриджей и ремонт оргтехники. Бумага и канцтовары. Лицензия электронной отчетности. Оплата хостинга сайта ТСН.Тиражирование бланков, платные запросы в Росреестр для  общего собрания и почтовые расходы.  </t>
  </si>
  <si>
    <t>тех. обслуживание и ремонт  лифтов</t>
  </si>
  <si>
    <t>тех. обслуживание и ремонт домофонов и коллективных аннтен</t>
  </si>
  <si>
    <t>техник домофона</t>
  </si>
  <si>
    <t xml:space="preserve"> материалы для технического обслуживания общедомовых коллективных антенн и  домофонов и запорных устройств входных дверей</t>
  </si>
  <si>
    <t>техническое обслуживание внутридомовой системы газоснабжения</t>
  </si>
  <si>
    <t>техник газового хозяйства</t>
  </si>
  <si>
    <t>материалы для обслуживания г/х</t>
  </si>
  <si>
    <t>услуги расчетно информационного центра (расчет счетов-фактур)</t>
  </si>
  <si>
    <t xml:space="preserve"> тариф установлен исходя из условий  договора с ЕРЦ г.Казани</t>
  </si>
  <si>
    <t>итого</t>
  </si>
  <si>
    <t>справочно: общая площадь (кв.м)=17446.18, в том числе нежилые помещения =3742.3</t>
  </si>
  <si>
    <t>ШТАТНОЕ РАСПИСАНИЕ</t>
  </si>
  <si>
    <t>( предложено к утверждению  общим собранием членов ТСН "Космонавтов 44" )</t>
  </si>
  <si>
    <t>должность</t>
  </si>
  <si>
    <t>СТАВКА</t>
  </si>
  <si>
    <t>оклад</t>
  </si>
  <si>
    <t>на руки  (оклад-13% ндфл)</t>
  </si>
  <si>
    <t>отпускные (28календарных дней по ТК РФ)</t>
  </si>
  <si>
    <t>фот в год (оклад*12мес + отпускные)</t>
  </si>
  <si>
    <t>фот в год(гр.5) + налоги на фот30.2%</t>
  </si>
  <si>
    <t>СПРАВОЧНО сумма по аутсортингу в месяц (при отсутствии штатных сотрудников)</t>
  </si>
  <si>
    <t>председатель</t>
  </si>
  <si>
    <t>комендант</t>
  </si>
  <si>
    <t>юрист</t>
  </si>
  <si>
    <t>бухгалтер (бух.учет)</t>
  </si>
  <si>
    <t>системный администратор</t>
  </si>
  <si>
    <t>дворник жилая часть (6 мес. Лето)</t>
  </si>
  <si>
    <t>с мая по октябрь</t>
  </si>
  <si>
    <t>дворник жилая часть (6 мес. зима)</t>
  </si>
  <si>
    <t>с ноября по апрель</t>
  </si>
  <si>
    <t>дворник нежилая часть</t>
  </si>
  <si>
    <t>электрик</t>
  </si>
  <si>
    <t>техник г/х</t>
  </si>
  <si>
    <t xml:space="preserve">итого </t>
  </si>
  <si>
    <t>статья расходов по смете</t>
  </si>
  <si>
    <t>планируемые работы</t>
  </si>
  <si>
    <t xml:space="preserve">сумма фактических расходов  </t>
  </si>
  <si>
    <t>содержание территории</t>
  </si>
  <si>
    <t xml:space="preserve"> сумма определена исходя из стоимости технического обслуживания согласно  договора, стоиммости страхования  и тех. освидетельствования, стоимости запчастей для ремонта лифтов. обучения ответственного за лифты.  </t>
  </si>
  <si>
    <t>промывка и опрессовка бойлера</t>
  </si>
  <si>
    <t>текущий ремонт и обслуживание системы водоснабжения: осмотр и ревизия (при необходимости - замена) запорных и регулирующих устройств, насосов и фильтров, поверка и обслуживание элементов автоматического регулирования системы ГВС</t>
  </si>
  <si>
    <t xml:space="preserve"> Удлинение водоотводных ливневых труб у каждого подъезда дома.     </t>
  </si>
  <si>
    <t>промывка и опрессовка системы ГВС</t>
  </si>
  <si>
    <t>осмотр, обслуживание и ревизия ( при необходимости - замена) запорных и регулирующих устройств, насосов, фильтров и др.</t>
  </si>
  <si>
    <t>промывка и опрессовка системы отопления</t>
  </si>
  <si>
    <t>ремонт парапетов лоджий 10 этажа</t>
  </si>
  <si>
    <t>Ремонт, правка и покраска  шлагбаумов и ограждений газонов, установка новых участков ограждений.                                                                                                                                                             Ремонт и покраска песочниц, скамеек, элементов детской площадки, замена песка в песочницах. -  20 000 р</t>
  </si>
  <si>
    <t>текущий ремонт мягкой кровли дома с пристроенной частью, крыши лоджий и подъездных козырьков</t>
  </si>
  <si>
    <t>ревизия, обслуживание, очистка от ржавчины и покраска газовых труб.</t>
  </si>
  <si>
    <t>Ремонт и восстановление электроосветительной сети в подвальных помещениях</t>
  </si>
  <si>
    <t>замена участка лежака ХВС Д 50 до 10м +Неплановые и аварийные работы</t>
  </si>
  <si>
    <t xml:space="preserve"> Завоз чернозема и облагораживание газонов 20 000р</t>
  </si>
  <si>
    <t>Ремонт машинных помещений лифтов. Косметический ремонт лифтовых кабин.</t>
  </si>
  <si>
    <t>обслуживание, поверка и настройка аппаратуры учета тепловой энергии-30 000р. Установка аппаратуры автоматического регулирования системы отопления, включая стоимость аппаратуры и оборудования-280 000 руб.                                                                                                                                   Выполнение мероприятий по снижению уровня шума системы отопления-50тыс руб.(в соответствии с предписанием Роспотребнадзора).</t>
  </si>
  <si>
    <t xml:space="preserve"> тарифы  действующие в настоящее время</t>
  </si>
  <si>
    <t>ФИНАНСОВЫЙ  ПЛАН ТСН "КОСМОНАВТОВ 44" НА 2020 ГОД  ( СМЕТА ДОХОДОВ И РАСХОДОВ)</t>
  </si>
  <si>
    <t xml:space="preserve"> сумма доходов на 2020 год   (сумма, расчитанная  исходя из  тарифа и общей площади)</t>
  </si>
  <si>
    <t xml:space="preserve"> фонд оплаты труда в год         (или расходы на аутсорсинг)</t>
  </si>
  <si>
    <t>доплата дворнику входит в оклад по должности</t>
  </si>
  <si>
    <t>доплата дворнику за уборку контейнерной площадки тбо входит в оклад по должности</t>
  </si>
  <si>
    <t>техник теплового узла</t>
  </si>
  <si>
    <t xml:space="preserve"> справочно: тарифы муниципальные</t>
  </si>
  <si>
    <t>предлагается  утвердить тарифы с 01.07.2020г.</t>
  </si>
  <si>
    <t xml:space="preserve"> годовой план содержания и ремонта общего имущества в доме на 2020 год</t>
  </si>
  <si>
    <t>проверка по всего</t>
  </si>
  <si>
    <t>председатель правления,  бухгалтер ,  юрист , сис.админ.</t>
  </si>
  <si>
    <t>расходы согласно годового  плана работ</t>
  </si>
  <si>
    <t>примечание</t>
  </si>
  <si>
    <t>работы согласно годового плана работ и приобретение расходных материалов</t>
  </si>
  <si>
    <t xml:space="preserve">работы согласно годового плана работ и приобретение расходных материалов </t>
  </si>
  <si>
    <t>работы согласно годового плана работ и приобретение расходных материалов для тех.обслуживания здания</t>
  </si>
  <si>
    <t>работы согласно годового плана работ и приобретение расходных материалов и инструмента</t>
  </si>
  <si>
    <t xml:space="preserve"> расходы на выполнение работ и приобретение материалов</t>
  </si>
  <si>
    <t>сумма в  год</t>
  </si>
  <si>
    <t>Замена двух стояков во 2 подъезде (кв.39-78). Замена участков лежаков, пришедших в аварийное состояние.                                                                                                         Восстановление теплоизоляции лежаков во 2,4 подъездахр.</t>
  </si>
  <si>
    <t>неплановые и аварийные работы</t>
  </si>
  <si>
    <t>приобретение и установка детских качелей и каруселей на детской площадке</t>
  </si>
  <si>
    <t>замена песка в детских песочницах</t>
  </si>
  <si>
    <t>выполнение мероприятий по организации раздельного сбора мусора</t>
  </si>
  <si>
    <t xml:space="preserve">тех. обслуживание и ремонтвент. каналов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</si>
</sst>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\ ##0.00"/>
    <numFmt numFmtId="165" formatCode="#\ ##0_ ;[Red]\-#\ ##0\ "/>
    <numFmt numFmtId="166" formatCode="#\ ##0.00_ ;[Red]\-#\ ##0.00\ "/>
    <numFmt numFmtId="167" formatCode="#\ ##0"/>
    <numFmt numFmtId="168" formatCode="#\ ##0.00_ "/>
    <numFmt numFmtId="169" formatCode="#&quot; &quot;##0_ ;[Red]\-#&quot; &quot;##0\ "/>
    <numFmt numFmtId="170" formatCode="#&quot; &quot;##0.00_ ;[Red]\-#&quot; &quot;##0.00\ "/>
  </numFmts>
  <fonts count="33" x14ac:knownFonts="1">
    <font>
      <sz val="10"/>
      <name val="Arial"/>
    </font>
    <font>
      <sz val="10"/>
      <name val="Arial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u/>
      <sz val="20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44">
    <xf numFmtId="0" fontId="0" fillId="0" borderId="0"/>
    <xf numFmtId="0" fontId="2" fillId="2" borderId="0" applyBorder="0" applyAlignment="0" applyProtection="0"/>
    <xf numFmtId="0" fontId="2" fillId="3" borderId="0" applyBorder="0" applyAlignment="0" applyProtection="0"/>
    <xf numFmtId="0" fontId="2" fillId="4" borderId="0" applyBorder="0" applyAlignment="0" applyProtection="0"/>
    <xf numFmtId="0" fontId="2" fillId="5" borderId="0" applyBorder="0" applyAlignment="0" applyProtection="0"/>
    <xf numFmtId="0" fontId="2" fillId="6" borderId="0" applyBorder="0" applyAlignment="0" applyProtection="0"/>
    <xf numFmtId="0" fontId="2" fillId="7" borderId="0" applyBorder="0" applyAlignment="0" applyProtection="0"/>
    <xf numFmtId="0" fontId="2" fillId="8" borderId="0" applyBorder="0" applyAlignment="0" applyProtection="0"/>
    <xf numFmtId="0" fontId="2" fillId="9" borderId="0" applyBorder="0" applyAlignment="0" applyProtection="0"/>
    <xf numFmtId="0" fontId="2" fillId="10" borderId="0" applyBorder="0" applyAlignment="0" applyProtection="0"/>
    <xf numFmtId="0" fontId="2" fillId="5" borderId="0" applyBorder="0" applyAlignment="0" applyProtection="0"/>
    <xf numFmtId="0" fontId="2" fillId="8" borderId="0" applyBorder="0" applyAlignment="0" applyProtection="0"/>
    <xf numFmtId="0" fontId="2" fillId="11" borderId="0" applyBorder="0" applyAlignment="0" applyProtection="0"/>
    <xf numFmtId="0" fontId="3" fillId="12" borderId="0" applyBorder="0" applyAlignment="0" applyProtection="0"/>
    <xf numFmtId="0" fontId="3" fillId="9" borderId="0" applyBorder="0" applyAlignment="0" applyProtection="0"/>
    <xf numFmtId="0" fontId="3" fillId="10" borderId="0" applyBorder="0" applyAlignment="0" applyProtection="0"/>
    <xf numFmtId="0" fontId="3" fillId="13" borderId="0" applyBorder="0" applyAlignment="0" applyProtection="0"/>
    <xf numFmtId="0" fontId="3" fillId="14" borderId="0" applyBorder="0" applyAlignment="0" applyProtection="0"/>
    <xf numFmtId="0" fontId="3" fillId="15" borderId="0" applyBorder="0" applyAlignment="0" applyProtection="0"/>
    <xf numFmtId="0" fontId="3" fillId="16" borderId="0" applyBorder="0" applyAlignment="0" applyProtection="0"/>
    <xf numFmtId="0" fontId="3" fillId="17" borderId="0" applyBorder="0" applyAlignment="0" applyProtection="0"/>
    <xf numFmtId="0" fontId="3" fillId="18" borderId="0" applyBorder="0" applyAlignment="0" applyProtection="0"/>
    <xf numFmtId="0" fontId="3" fillId="13" borderId="0" applyBorder="0" applyAlignment="0" applyProtection="0"/>
    <xf numFmtId="0" fontId="3" fillId="14" borderId="0" applyBorder="0" applyAlignment="0" applyProtection="0"/>
    <xf numFmtId="0" fontId="3" fillId="19" borderId="0" applyBorder="0" applyAlignment="0" applyProtection="0"/>
    <xf numFmtId="0" fontId="4" fillId="7" borderId="1" applyAlignment="0" applyProtection="0"/>
    <xf numFmtId="0" fontId="5" fillId="20" borderId="2" applyAlignment="0" applyProtection="0"/>
    <xf numFmtId="0" fontId="6" fillId="20" borderId="1" applyAlignment="0" applyProtection="0"/>
    <xf numFmtId="0" fontId="7" fillId="0" borderId="3" applyAlignment="0" applyProtection="0"/>
    <xf numFmtId="0" fontId="8" fillId="0" borderId="4" applyAlignment="0" applyProtection="0"/>
    <xf numFmtId="0" fontId="9" fillId="0" borderId="5" applyAlignment="0" applyProtection="0"/>
    <xf numFmtId="0" fontId="9" fillId="0" borderId="0" applyBorder="0" applyAlignment="0" applyProtection="0"/>
    <xf numFmtId="0" fontId="10" fillId="0" borderId="6" applyAlignment="0" applyProtection="0"/>
    <xf numFmtId="0" fontId="11" fillId="21" borderId="7" applyAlignment="0" applyProtection="0"/>
    <xf numFmtId="0" fontId="12" fillId="0" borderId="0" applyBorder="0" applyAlignment="0" applyProtection="0"/>
    <xf numFmtId="0" fontId="13" fillId="22" borderId="0" applyBorder="0" applyAlignment="0" applyProtection="0"/>
    <xf numFmtId="0" fontId="2" fillId="0" borderId="0"/>
    <xf numFmtId="0" fontId="14" fillId="3" borderId="0" applyBorder="0" applyAlignment="0" applyProtection="0"/>
    <xf numFmtId="0" fontId="15" fillId="0" borderId="0" applyBorder="0" applyAlignment="0" applyProtection="0"/>
    <xf numFmtId="0" fontId="1" fillId="23" borderId="8" applyAlignment="0" applyProtection="0"/>
    <xf numFmtId="0" fontId="1" fillId="23" borderId="8" applyAlignment="0" applyProtection="0"/>
    <xf numFmtId="0" fontId="16" fillId="0" borderId="9" applyAlignment="0" applyProtection="0"/>
    <xf numFmtId="0" fontId="17" fillId="0" borderId="0" applyBorder="0" applyAlignment="0" applyProtection="0"/>
    <xf numFmtId="0" fontId="18" fillId="4" borderId="0" applyBorder="0" applyAlignment="0" applyProtection="0"/>
  </cellStyleXfs>
  <cellXfs count="132">
    <xf numFmtId="0" fontId="0" fillId="0" borderId="0" xfId="0"/>
    <xf numFmtId="167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left" wrapText="1"/>
    </xf>
    <xf numFmtId="167" fontId="0" fillId="0" borderId="0" xfId="0" applyNumberFormat="1" applyAlignment="1">
      <alignment horizontal="right"/>
    </xf>
    <xf numFmtId="167" fontId="0" fillId="4" borderId="0" xfId="0" applyNumberFormat="1" applyFill="1" applyAlignment="1">
      <alignment horizontal="right"/>
    </xf>
    <xf numFmtId="167" fontId="0" fillId="0" borderId="0" xfId="0" applyNumberFormat="1"/>
    <xf numFmtId="166" fontId="25" fillId="0" borderId="0" xfId="0" applyNumberFormat="1" applyFont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 wrapText="1"/>
    </xf>
    <xf numFmtId="167" fontId="26" fillId="0" borderId="14" xfId="0" applyNumberFormat="1" applyFont="1" applyBorder="1" applyAlignment="1">
      <alignment horizontal="center" vertical="center" wrapText="1"/>
    </xf>
    <xf numFmtId="164" fontId="26" fillId="0" borderId="14" xfId="0" applyNumberFormat="1" applyFont="1" applyBorder="1" applyAlignment="1">
      <alignment horizontal="center" vertical="center" wrapText="1"/>
    </xf>
    <xf numFmtId="167" fontId="26" fillId="24" borderId="14" xfId="0" applyNumberFormat="1" applyFont="1" applyFill="1" applyBorder="1" applyAlignment="1">
      <alignment horizontal="center" vertical="center" wrapText="1"/>
    </xf>
    <xf numFmtId="167" fontId="0" fillId="0" borderId="0" xfId="0" applyNumberFormat="1" applyBorder="1" applyAlignment="1">
      <alignment horizontal="center" vertical="center" wrapText="1"/>
    </xf>
    <xf numFmtId="167" fontId="25" fillId="0" borderId="14" xfId="0" applyNumberFormat="1" applyFont="1" applyBorder="1" applyAlignment="1">
      <alignment horizontal="center" vertical="center" wrapText="1"/>
    </xf>
    <xf numFmtId="164" fontId="25" fillId="0" borderId="14" xfId="0" applyNumberFormat="1" applyFont="1" applyBorder="1" applyAlignment="1">
      <alignment horizontal="center" vertical="center" wrapText="1"/>
    </xf>
    <xf numFmtId="167" fontId="25" fillId="24" borderId="14" xfId="0" applyNumberFormat="1" applyFont="1" applyFill="1" applyBorder="1" applyAlignment="1">
      <alignment horizontal="center" vertical="center" wrapText="1"/>
    </xf>
    <xf numFmtId="167" fontId="25" fillId="0" borderId="14" xfId="0" applyNumberFormat="1" applyFont="1" applyBorder="1" applyAlignment="1">
      <alignment horizontal="left" wrapText="1"/>
    </xf>
    <xf numFmtId="164" fontId="25" fillId="0" borderId="14" xfId="0" applyNumberFormat="1" applyFont="1" applyBorder="1" applyAlignment="1">
      <alignment horizontal="left" wrapText="1"/>
    </xf>
    <xf numFmtId="167" fontId="25" fillId="0" borderId="14" xfId="0" applyNumberFormat="1" applyFont="1" applyBorder="1" applyAlignment="1">
      <alignment horizontal="right"/>
    </xf>
    <xf numFmtId="167" fontId="25" fillId="24" borderId="14" xfId="0" applyNumberFormat="1" applyFont="1" applyFill="1" applyBorder="1" applyAlignment="1">
      <alignment horizontal="right"/>
    </xf>
    <xf numFmtId="167" fontId="25" fillId="0" borderId="14" xfId="0" applyNumberFormat="1" applyFont="1" applyBorder="1"/>
    <xf numFmtId="167" fontId="0" fillId="0" borderId="0" xfId="0" applyNumberFormat="1" applyBorder="1"/>
    <xf numFmtId="166" fontId="27" fillId="0" borderId="0" xfId="0" applyNumberFormat="1" applyFont="1" applyAlignment="1">
      <alignment horizontal="center" vertical="center" wrapText="1"/>
    </xf>
    <xf numFmtId="167" fontId="27" fillId="0" borderId="0" xfId="0" applyNumberFormat="1" applyFont="1" applyAlignment="1">
      <alignment horizontal="center" vertical="center" wrapText="1"/>
    </xf>
    <xf numFmtId="166" fontId="29" fillId="0" borderId="22" xfId="0" applyNumberFormat="1" applyFont="1" applyBorder="1" applyAlignment="1">
      <alignment horizontal="center" vertical="center" wrapText="1"/>
    </xf>
    <xf numFmtId="166" fontId="29" fillId="0" borderId="23" xfId="0" applyNumberFormat="1" applyFont="1" applyBorder="1" applyAlignment="1">
      <alignment horizontal="center" vertical="center" wrapText="1"/>
    </xf>
    <xf numFmtId="167" fontId="29" fillId="0" borderId="24" xfId="0" applyNumberFormat="1" applyFont="1" applyBorder="1" applyAlignment="1">
      <alignment horizontal="center" vertical="center" wrapText="1"/>
    </xf>
    <xf numFmtId="166" fontId="27" fillId="0" borderId="0" xfId="0" applyNumberFormat="1" applyFont="1"/>
    <xf numFmtId="166" fontId="29" fillId="0" borderId="10" xfId="0" applyNumberFormat="1" applyFont="1" applyBorder="1" applyAlignment="1">
      <alignment wrapText="1"/>
    </xf>
    <xf numFmtId="167" fontId="27" fillId="24" borderId="25" xfId="0" applyNumberFormat="1" applyFont="1" applyFill="1" applyBorder="1"/>
    <xf numFmtId="0" fontId="27" fillId="0" borderId="0" xfId="0" applyFont="1"/>
    <xf numFmtId="166" fontId="29" fillId="0" borderId="14" xfId="0" applyNumberFormat="1" applyFont="1" applyBorder="1" applyAlignment="1">
      <alignment wrapText="1"/>
    </xf>
    <xf numFmtId="167" fontId="27" fillId="24" borderId="14" xfId="0" applyNumberFormat="1" applyFont="1" applyFill="1" applyBorder="1"/>
    <xf numFmtId="166" fontId="29" fillId="0" borderId="26" xfId="0" applyNumberFormat="1" applyFont="1" applyBorder="1" applyAlignment="1">
      <alignment wrapText="1"/>
    </xf>
    <xf numFmtId="167" fontId="28" fillId="0" borderId="21" xfId="0" applyNumberFormat="1" applyFont="1" applyBorder="1" applyAlignment="1">
      <alignment wrapText="1"/>
    </xf>
    <xf numFmtId="167" fontId="22" fillId="0" borderId="21" xfId="0" applyNumberFormat="1" applyFont="1" applyBorder="1"/>
    <xf numFmtId="167" fontId="22" fillId="0" borderId="14" xfId="0" applyNumberFormat="1" applyFont="1" applyBorder="1"/>
    <xf numFmtId="166" fontId="27" fillId="0" borderId="29" xfId="0" applyNumberFormat="1" applyFont="1" applyBorder="1"/>
    <xf numFmtId="166" fontId="27" fillId="0" borderId="0" xfId="0" applyNumberFormat="1" applyFont="1" applyAlignment="1">
      <alignment horizontal="center" vertical="center" textRotation="90" wrapText="1"/>
    </xf>
    <xf numFmtId="167" fontId="27" fillId="0" borderId="0" xfId="0" applyNumberFormat="1" applyFont="1"/>
    <xf numFmtId="166" fontId="28" fillId="0" borderId="21" xfId="0" applyNumberFormat="1" applyFont="1" applyBorder="1" applyAlignment="1">
      <alignment horizontal="right" wrapText="1"/>
    </xf>
    <xf numFmtId="166" fontId="28" fillId="0" borderId="27" xfId="0" applyNumberFormat="1" applyFont="1" applyBorder="1" applyAlignment="1">
      <alignment horizontal="right" wrapText="1"/>
    </xf>
    <xf numFmtId="166" fontId="28" fillId="0" borderId="33" xfId="0" applyNumberFormat="1" applyFont="1" applyBorder="1" applyAlignment="1">
      <alignment horizontal="right" wrapText="1"/>
    </xf>
    <xf numFmtId="166" fontId="27" fillId="0" borderId="10" xfId="0" applyNumberFormat="1" applyFont="1" applyBorder="1"/>
    <xf numFmtId="167" fontId="27" fillId="0" borderId="35" xfId="0" applyNumberFormat="1" applyFont="1" applyBorder="1"/>
    <xf numFmtId="166" fontId="27" fillId="0" borderId="37" xfId="0" applyNumberFormat="1" applyFont="1" applyBorder="1" applyAlignment="1">
      <alignment horizontal="center" vertical="center" textRotation="90" wrapText="1"/>
    </xf>
    <xf numFmtId="167" fontId="27" fillId="24" borderId="38" xfId="0" applyNumberFormat="1" applyFont="1" applyFill="1" applyBorder="1"/>
    <xf numFmtId="166" fontId="29" fillId="0" borderId="30" xfId="0" applyNumberFormat="1" applyFont="1" applyBorder="1" applyAlignment="1">
      <alignment horizontal="center" vertical="center" textRotation="90" wrapText="1"/>
    </xf>
    <xf numFmtId="166" fontId="27" fillId="0" borderId="28" xfId="0" applyNumberFormat="1" applyFont="1" applyBorder="1" applyAlignment="1">
      <alignment horizontal="center" vertical="center" textRotation="90" wrapText="1"/>
    </xf>
    <xf numFmtId="166" fontId="22" fillId="0" borderId="0" xfId="0" applyNumberFormat="1" applyFont="1" applyAlignment="1">
      <alignment horizontal="right"/>
    </xf>
    <xf numFmtId="0" fontId="26" fillId="0" borderId="0" xfId="0" applyFont="1" applyFill="1"/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170" fontId="26" fillId="0" borderId="0" xfId="0" applyNumberFormat="1" applyFont="1" applyFill="1"/>
    <xf numFmtId="0" fontId="30" fillId="0" borderId="0" xfId="0" applyFont="1" applyFill="1"/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0" fontId="21" fillId="0" borderId="0" xfId="0" applyFont="1" applyFill="1" applyBorder="1"/>
    <xf numFmtId="170" fontId="21" fillId="0" borderId="0" xfId="0" applyNumberFormat="1" applyFont="1" applyFill="1"/>
    <xf numFmtId="0" fontId="21" fillId="0" borderId="0" xfId="0" applyFont="1" applyFill="1"/>
    <xf numFmtId="166" fontId="23" fillId="0" borderId="0" xfId="0" applyNumberFormat="1" applyFont="1" applyFill="1" applyAlignment="1">
      <alignment horizontal="center" vertical="center" wrapText="1"/>
    </xf>
    <xf numFmtId="0" fontId="21" fillId="0" borderId="44" xfId="0" applyFont="1" applyFill="1" applyBorder="1"/>
    <xf numFmtId="165" fontId="22" fillId="0" borderId="0" xfId="0" applyNumberFormat="1" applyFont="1" applyFill="1" applyAlignment="1">
      <alignment horizontal="center" vertical="center"/>
    </xf>
    <xf numFmtId="170" fontId="21" fillId="0" borderId="15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left" vertical="center" wrapText="1"/>
    </xf>
    <xf numFmtId="164" fontId="24" fillId="0" borderId="25" xfId="0" applyNumberFormat="1" applyFont="1" applyFill="1" applyBorder="1" applyAlignment="1">
      <alignment horizontal="center" vertical="center" wrapText="1"/>
    </xf>
    <xf numFmtId="3" fontId="21" fillId="0" borderId="16" xfId="0" applyNumberFormat="1" applyFont="1" applyFill="1" applyBorder="1" applyAlignment="1">
      <alignment horizontal="center" vertical="center" wrapText="1"/>
    </xf>
    <xf numFmtId="167" fontId="24" fillId="0" borderId="14" xfId="0" applyNumberFormat="1" applyFont="1" applyFill="1" applyBorder="1" applyAlignment="1">
      <alignment horizontal="center" vertical="center"/>
    </xf>
    <xf numFmtId="3" fontId="21" fillId="0" borderId="14" xfId="0" applyNumberFormat="1" applyFont="1" applyFill="1" applyBorder="1" applyAlignment="1">
      <alignment horizontal="center" vertical="center" wrapText="1"/>
    </xf>
    <xf numFmtId="167" fontId="24" fillId="0" borderId="17" xfId="0" applyNumberFormat="1" applyFont="1" applyFill="1" applyBorder="1" applyAlignment="1">
      <alignment horizontal="center" vertical="center"/>
    </xf>
    <xf numFmtId="169" fontId="21" fillId="0" borderId="14" xfId="0" applyNumberFormat="1" applyFont="1" applyFill="1" applyBorder="1" applyAlignment="1">
      <alignment horizontal="right" vertical="center"/>
    </xf>
    <xf numFmtId="167" fontId="21" fillId="0" borderId="19" xfId="0" applyNumberFormat="1" applyFont="1" applyFill="1" applyBorder="1" applyAlignment="1">
      <alignment horizontal="center" vertical="center"/>
    </xf>
    <xf numFmtId="170" fontId="21" fillId="0" borderId="15" xfId="0" applyNumberFormat="1" applyFont="1" applyFill="1" applyBorder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164" fontId="24" fillId="0" borderId="14" xfId="0" applyNumberFormat="1" applyFont="1" applyFill="1" applyBorder="1" applyAlignment="1">
      <alignment horizontal="center" vertical="center" wrapText="1"/>
    </xf>
    <xf numFmtId="164" fontId="21" fillId="0" borderId="20" xfId="0" applyNumberFormat="1" applyFont="1" applyFill="1" applyBorder="1" applyAlignment="1">
      <alignment horizontal="left" vertical="center" wrapText="1"/>
    </xf>
    <xf numFmtId="2" fontId="24" fillId="0" borderId="21" xfId="0" applyNumberFormat="1" applyFont="1" applyFill="1" applyBorder="1" applyAlignment="1">
      <alignment horizontal="center" vertical="center"/>
    </xf>
    <xf numFmtId="2" fontId="24" fillId="0" borderId="41" xfId="0" applyNumberFormat="1" applyFont="1" applyFill="1" applyBorder="1" applyAlignment="1">
      <alignment horizontal="center" vertical="center"/>
    </xf>
    <xf numFmtId="164" fontId="21" fillId="0" borderId="21" xfId="0" applyNumberFormat="1" applyFont="1" applyFill="1" applyBorder="1" applyAlignment="1">
      <alignment horizontal="center" vertical="center"/>
    </xf>
    <xf numFmtId="167" fontId="24" fillId="0" borderId="33" xfId="0" applyNumberFormat="1" applyFont="1" applyFill="1" applyBorder="1" applyAlignment="1">
      <alignment horizontal="center" vertical="center"/>
    </xf>
    <xf numFmtId="167" fontId="24" fillId="0" borderId="21" xfId="0" applyNumberFormat="1" applyFont="1" applyFill="1" applyBorder="1" applyAlignment="1">
      <alignment horizontal="center" vertical="center"/>
    </xf>
    <xf numFmtId="167" fontId="24" fillId="0" borderId="36" xfId="0" applyNumberFormat="1" applyFont="1" applyFill="1" applyBorder="1" applyAlignment="1">
      <alignment horizontal="center" vertical="center"/>
    </xf>
    <xf numFmtId="167" fontId="24" fillId="0" borderId="34" xfId="0" applyNumberFormat="1" applyFont="1" applyFill="1" applyBorder="1" applyAlignment="1">
      <alignment horizontal="center" vertical="center"/>
    </xf>
    <xf numFmtId="164" fontId="21" fillId="0" borderId="0" xfId="0" applyNumberFormat="1" applyFont="1" applyFill="1" applyAlignment="1">
      <alignment horizontal="left" vertical="center"/>
    </xf>
    <xf numFmtId="0" fontId="21" fillId="0" borderId="0" xfId="0" applyFont="1" applyFill="1" applyAlignment="1">
      <alignment horizontal="left"/>
    </xf>
    <xf numFmtId="2" fontId="21" fillId="0" borderId="0" xfId="0" applyNumberFormat="1" applyFont="1" applyFill="1" applyAlignment="1">
      <alignment horizontal="center" vertical="center"/>
    </xf>
    <xf numFmtId="167" fontId="24" fillId="0" borderId="45" xfId="0" applyNumberFormat="1" applyFont="1" applyFill="1" applyBorder="1" applyAlignment="1">
      <alignment horizontal="center" vertical="center"/>
    </xf>
    <xf numFmtId="169" fontId="21" fillId="0" borderId="0" xfId="0" applyNumberFormat="1" applyFont="1" applyFill="1" applyAlignment="1">
      <alignment horizontal="right" vertical="center"/>
    </xf>
    <xf numFmtId="0" fontId="26" fillId="0" borderId="0" xfId="0" applyFont="1" applyFill="1" applyBorder="1" applyAlignment="1">
      <alignment horizontal="center" vertical="center"/>
    </xf>
    <xf numFmtId="168" fontId="26" fillId="0" borderId="0" xfId="0" applyNumberFormat="1" applyFont="1" applyFill="1" applyAlignment="1">
      <alignment horizontal="center" vertical="center"/>
    </xf>
    <xf numFmtId="169" fontId="26" fillId="0" borderId="0" xfId="0" applyNumberFormat="1" applyFont="1" applyFill="1" applyAlignment="1">
      <alignment horizontal="right" vertical="center"/>
    </xf>
    <xf numFmtId="168" fontId="32" fillId="0" borderId="0" xfId="0" applyNumberFormat="1" applyFont="1" applyFill="1" applyAlignment="1">
      <alignment horizontal="center" vertical="center"/>
    </xf>
    <xf numFmtId="0" fontId="26" fillId="25" borderId="0" xfId="0" applyFont="1" applyFill="1" applyAlignment="1">
      <alignment horizontal="center" vertical="center"/>
    </xf>
    <xf numFmtId="0" fontId="20" fillId="25" borderId="0" xfId="0" applyFont="1" applyFill="1" applyAlignment="1">
      <alignment horizontal="center" vertical="center"/>
    </xf>
    <xf numFmtId="164" fontId="24" fillId="25" borderId="25" xfId="0" applyNumberFormat="1" applyFont="1" applyFill="1" applyBorder="1" applyAlignment="1">
      <alignment horizontal="center" vertical="center" wrapText="1"/>
    </xf>
    <xf numFmtId="167" fontId="24" fillId="25" borderId="39" xfId="0" applyNumberFormat="1" applyFont="1" applyFill="1" applyBorder="1" applyAlignment="1">
      <alignment horizontal="center" vertical="center"/>
    </xf>
    <xf numFmtId="164" fontId="24" fillId="25" borderId="14" xfId="0" applyNumberFormat="1" applyFont="1" applyFill="1" applyBorder="1" applyAlignment="1">
      <alignment horizontal="center" vertical="center" wrapText="1"/>
    </xf>
    <xf numFmtId="2" fontId="24" fillId="25" borderId="21" xfId="0" applyNumberFormat="1" applyFont="1" applyFill="1" applyBorder="1" applyAlignment="1">
      <alignment horizontal="center" vertical="center"/>
    </xf>
    <xf numFmtId="0" fontId="21" fillId="25" borderId="0" xfId="0" applyFont="1" applyFill="1" applyAlignment="1">
      <alignment horizontal="center" vertical="center"/>
    </xf>
    <xf numFmtId="167" fontId="24" fillId="25" borderId="46" xfId="0" applyNumberFormat="1" applyFont="1" applyFill="1" applyBorder="1" applyAlignment="1">
      <alignment horizontal="center" vertical="center"/>
    </xf>
    <xf numFmtId="0" fontId="26" fillId="25" borderId="0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 readingOrder="1"/>
    </xf>
    <xf numFmtId="0" fontId="24" fillId="25" borderId="14" xfId="0" applyFont="1" applyFill="1" applyBorder="1" applyAlignment="1">
      <alignment horizontal="center" vertical="center" textRotation="90" wrapText="1"/>
    </xf>
    <xf numFmtId="0" fontId="31" fillId="25" borderId="14" xfId="0" applyFont="1" applyFill="1" applyBorder="1" applyAlignment="1">
      <alignment horizontal="center" vertical="center" textRotation="90" wrapText="1"/>
    </xf>
    <xf numFmtId="0" fontId="24" fillId="0" borderId="14" xfId="0" applyFont="1" applyFill="1" applyBorder="1" applyAlignment="1">
      <alignment horizontal="center" vertical="center" textRotation="90" wrapText="1"/>
    </xf>
    <xf numFmtId="0" fontId="21" fillId="0" borderId="42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22" fillId="0" borderId="40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166" fontId="23" fillId="0" borderId="0" xfId="0" applyNumberFormat="1" applyFont="1" applyBorder="1" applyAlignment="1">
      <alignment horizontal="center" vertical="center" wrapText="1" shrinkToFit="1"/>
    </xf>
    <xf numFmtId="166" fontId="23" fillId="0" borderId="0" xfId="0" applyNumberFormat="1" applyFont="1" applyBorder="1" applyAlignment="1">
      <alignment horizontal="center" vertical="center" wrapText="1"/>
    </xf>
    <xf numFmtId="166" fontId="27" fillId="0" borderId="30" xfId="0" applyNumberFormat="1" applyFont="1" applyBorder="1" applyAlignment="1">
      <alignment horizontal="center" vertical="center" textRotation="90" wrapText="1" readingOrder="1"/>
    </xf>
    <xf numFmtId="0" fontId="27" fillId="0" borderId="31" xfId="0" applyFont="1" applyBorder="1" applyAlignment="1">
      <alignment horizontal="center" vertical="center" textRotation="90" wrapText="1" readingOrder="1"/>
    </xf>
    <xf numFmtId="0" fontId="27" fillId="0" borderId="32" xfId="0" applyFont="1" applyBorder="1" applyAlignment="1">
      <alignment horizontal="center" vertical="center" textRotation="90" wrapText="1" readingOrder="1"/>
    </xf>
    <xf numFmtId="166" fontId="29" fillId="0" borderId="30" xfId="0" applyNumberFormat="1" applyFont="1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 textRotation="90" wrapText="1"/>
    </xf>
    <xf numFmtId="0" fontId="0" fillId="0" borderId="32" xfId="0" applyBorder="1" applyAlignment="1">
      <alignment horizontal="center" vertical="center" textRotation="90" wrapText="1"/>
    </xf>
    <xf numFmtId="166" fontId="28" fillId="0" borderId="0" xfId="0" applyNumberFormat="1" applyFont="1" applyBorder="1" applyAlignment="1">
      <alignment horizontal="center" vertical="center" wrapText="1" shrinkToFit="1"/>
    </xf>
    <xf numFmtId="0" fontId="27" fillId="0" borderId="31" xfId="0" applyFont="1" applyBorder="1" applyAlignment="1">
      <alignment horizontal="center" vertical="center" textRotation="90" wrapText="1"/>
    </xf>
    <xf numFmtId="0" fontId="27" fillId="0" borderId="32" xfId="0" applyFont="1" applyBorder="1" applyAlignment="1">
      <alignment horizontal="center" vertical="center" textRotation="90" wrapText="1"/>
    </xf>
  </cellXfs>
  <cellStyles count="44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Заголовок 1" xfId="28"/>
    <cellStyle name="Заголовок 2" xfId="29"/>
    <cellStyle name="Заголовок 3" xfId="30"/>
    <cellStyle name="Заголовок 4" xfId="31"/>
    <cellStyle name="Итог" xfId="32"/>
    <cellStyle name="Контрольная ячейка" xfId="33"/>
    <cellStyle name="Название" xfId="34"/>
    <cellStyle name="Нейтральный" xfId="35"/>
    <cellStyle name="Обычный" xfId="0" builtinId="0"/>
    <cellStyle name="Обычный 2" xfId="36"/>
    <cellStyle name="Плохой" xfId="37"/>
    <cellStyle name="Пояснение" xfId="38"/>
    <cellStyle name="Примечание" xfId="39"/>
    <cellStyle name="Примечание 2" xfId="40"/>
    <cellStyle name="Связанная ячейка" xfId="41"/>
    <cellStyle name="Текст предупреждения" xfId="42"/>
    <cellStyle name="Хороший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6"/>
  <sheetViews>
    <sheetView tabSelected="1" zoomScale="59" zoomScaleNormal="59" workbookViewId="0">
      <pane xSplit="4" ySplit="6" topLeftCell="E7" activePane="bottomRight" state="frozen"/>
      <selection pane="topRight" activeCell="C1" sqref="C1"/>
      <selection pane="bottomLeft" activeCell="A15" sqref="A15"/>
      <selection pane="bottomRight" activeCell="D7" sqref="D7"/>
    </sheetView>
  </sheetViews>
  <sheetFormatPr defaultRowHeight="15.75" x14ac:dyDescent="0.25"/>
  <cols>
    <col min="1" max="1" width="66" style="49" customWidth="1"/>
    <col min="2" max="2" width="23.5703125" style="49" customWidth="1"/>
    <col min="3" max="3" width="12" style="50" customWidth="1"/>
    <col min="4" max="4" width="19" style="97" customWidth="1"/>
    <col min="5" max="5" width="23.85546875" style="97" customWidth="1"/>
    <col min="6" max="6" width="35" style="50" customWidth="1"/>
    <col min="7" max="7" width="28.28515625" style="50" customWidth="1"/>
    <col min="8" max="8" width="74.7109375" style="51" customWidth="1"/>
    <col min="9" max="9" width="20.7109375" style="50" customWidth="1"/>
    <col min="10" max="10" width="21.140625" style="49" customWidth="1"/>
    <col min="11" max="11" width="22.5703125" style="50" customWidth="1"/>
    <col min="12" max="12" width="19.140625" style="52" hidden="1" customWidth="1"/>
    <col min="13" max="256" width="9.140625" style="49" customWidth="1"/>
    <col min="257" max="1024" width="9.140625" style="53" customWidth="1"/>
    <col min="1025" max="16384" width="9.140625" style="53"/>
  </cols>
  <sheetData>
    <row r="1" spans="1:12" ht="25.5" customHeight="1" x14ac:dyDescent="0.25"/>
    <row r="2" spans="1:12" s="60" customFormat="1" ht="30.75" customHeight="1" x14ac:dyDescent="0.35">
      <c r="A2" s="54" t="s">
        <v>81</v>
      </c>
      <c r="B2" s="54"/>
      <c r="C2" s="55"/>
      <c r="D2" s="98"/>
      <c r="E2" s="98"/>
      <c r="F2" s="56"/>
      <c r="G2" s="57"/>
      <c r="H2" s="55"/>
      <c r="I2" s="57"/>
      <c r="J2" s="58"/>
      <c r="K2" s="56"/>
      <c r="L2" s="59"/>
    </row>
    <row r="3" spans="1:12" s="60" customFormat="1" ht="27.75" customHeight="1" thickBot="1" x14ac:dyDescent="0.35">
      <c r="C3" s="55"/>
      <c r="D3" s="98"/>
      <c r="E3" s="98"/>
      <c r="F3" s="61"/>
      <c r="G3" s="57"/>
      <c r="H3" s="57"/>
      <c r="I3" s="57"/>
      <c r="J3" s="62"/>
      <c r="K3" s="63" t="s">
        <v>0</v>
      </c>
      <c r="L3" s="59"/>
    </row>
    <row r="4" spans="1:12" s="65" customFormat="1" ht="20.25" customHeight="1" thickBot="1" x14ac:dyDescent="0.25">
      <c r="A4" s="108" t="s">
        <v>1</v>
      </c>
      <c r="B4" s="111" t="s">
        <v>87</v>
      </c>
      <c r="C4" s="111" t="s">
        <v>80</v>
      </c>
      <c r="D4" s="109" t="s">
        <v>88</v>
      </c>
      <c r="E4" s="109" t="s">
        <v>82</v>
      </c>
      <c r="F4" s="112" t="s">
        <v>2</v>
      </c>
      <c r="G4" s="113"/>
      <c r="H4" s="113"/>
      <c r="I4" s="113"/>
      <c r="J4" s="113"/>
      <c r="K4" s="114"/>
      <c r="L4" s="64"/>
    </row>
    <row r="5" spans="1:12" s="65" customFormat="1" ht="92.25" customHeight="1" thickBot="1" x14ac:dyDescent="0.25">
      <c r="A5" s="108"/>
      <c r="B5" s="111"/>
      <c r="C5" s="111"/>
      <c r="D5" s="110"/>
      <c r="E5" s="110"/>
      <c r="F5" s="115" t="s">
        <v>3</v>
      </c>
      <c r="G5" s="116"/>
      <c r="H5" s="119" t="s">
        <v>98</v>
      </c>
      <c r="I5" s="120"/>
      <c r="J5" s="117" t="s">
        <v>92</v>
      </c>
      <c r="K5" s="106" t="s">
        <v>4</v>
      </c>
      <c r="L5" s="64" t="s">
        <v>5</v>
      </c>
    </row>
    <row r="6" spans="1:12" s="65" customFormat="1" ht="106.5" customHeight="1" x14ac:dyDescent="0.2">
      <c r="A6" s="108"/>
      <c r="B6" s="111"/>
      <c r="C6" s="111"/>
      <c r="D6" s="110"/>
      <c r="E6" s="110"/>
      <c r="F6" s="66" t="s">
        <v>6</v>
      </c>
      <c r="G6" s="67" t="s">
        <v>83</v>
      </c>
      <c r="H6" s="67" t="s">
        <v>93</v>
      </c>
      <c r="I6" s="68" t="s">
        <v>99</v>
      </c>
      <c r="J6" s="118"/>
      <c r="K6" s="107"/>
      <c r="L6" s="64" t="s">
        <v>7</v>
      </c>
    </row>
    <row r="7" spans="1:12" s="78" customFormat="1" ht="87.75" customHeight="1" x14ac:dyDescent="0.2">
      <c r="A7" s="69" t="s">
        <v>8</v>
      </c>
      <c r="B7" s="70">
        <v>3.68</v>
      </c>
      <c r="C7" s="70">
        <v>3.55</v>
      </c>
      <c r="D7" s="99">
        <v>3.2</v>
      </c>
      <c r="E7" s="100">
        <f>D7*17446.18*12</f>
        <v>669933.31200000003</v>
      </c>
      <c r="F7" s="71" t="s">
        <v>9</v>
      </c>
      <c r="G7" s="72">
        <v>523497</v>
      </c>
      <c r="H7" s="73" t="s">
        <v>94</v>
      </c>
      <c r="I7" s="74">
        <v>20000</v>
      </c>
      <c r="J7" s="75">
        <f>'план работ'!D26</f>
        <v>126436.31</v>
      </c>
      <c r="K7" s="76">
        <f>G7+I7+J7</f>
        <v>669933.31000000006</v>
      </c>
      <c r="L7" s="77">
        <f>(D7*12*17446.18)-K7</f>
        <v>2.0000000949949026E-3</v>
      </c>
    </row>
    <row r="8" spans="1:12" s="78" customFormat="1" ht="104.25" customHeight="1" x14ac:dyDescent="0.2">
      <c r="A8" s="69" t="s">
        <v>10</v>
      </c>
      <c r="B8" s="79">
        <v>0.28999999999999998</v>
      </c>
      <c r="C8" s="79">
        <v>0.3</v>
      </c>
      <c r="D8" s="101">
        <v>0.28999999999999998</v>
      </c>
      <c r="E8" s="100">
        <f t="shared" ref="E8:E20" si="0">D8*17446.18*12</f>
        <v>60712.706399999995</v>
      </c>
      <c r="F8" s="71" t="s">
        <v>84</v>
      </c>
      <c r="G8" s="72">
        <f>'штатное расписание'!G13</f>
        <v>0</v>
      </c>
      <c r="H8" s="73" t="s">
        <v>95</v>
      </c>
      <c r="I8" s="74">
        <v>4800</v>
      </c>
      <c r="J8" s="75">
        <f>'план работ'!D28</f>
        <v>55912.71</v>
      </c>
      <c r="K8" s="76">
        <f t="shared" ref="K8:K20" si="1">G8+I8+J8</f>
        <v>60712.71</v>
      </c>
      <c r="L8" s="77">
        <f t="shared" ref="L8:L20" si="2">(D8*12*17446.18)-K8</f>
        <v>-3.6000000036437996E-3</v>
      </c>
    </row>
    <row r="9" spans="1:12" s="78" customFormat="1" ht="61.5" customHeight="1" x14ac:dyDescent="0.2">
      <c r="A9" s="69" t="s">
        <v>11</v>
      </c>
      <c r="B9" s="79">
        <v>2</v>
      </c>
      <c r="C9" s="79">
        <v>1.5</v>
      </c>
      <c r="D9" s="101">
        <v>1.62</v>
      </c>
      <c r="E9" s="100">
        <f t="shared" si="0"/>
        <v>339153.73920000001</v>
      </c>
      <c r="F9" s="71" t="s">
        <v>12</v>
      </c>
      <c r="G9" s="72">
        <f>'штатное расписание'!G19</f>
        <v>329609.1326350476</v>
      </c>
      <c r="H9" s="73" t="s">
        <v>13</v>
      </c>
      <c r="I9" s="74">
        <v>9544.61</v>
      </c>
      <c r="J9" s="75">
        <v>0</v>
      </c>
      <c r="K9" s="76">
        <f t="shared" si="1"/>
        <v>339153.74263504759</v>
      </c>
      <c r="L9" s="77">
        <f t="shared" si="2"/>
        <v>-3.4350475762039423E-3</v>
      </c>
    </row>
    <row r="10" spans="1:12" s="78" customFormat="1" ht="76.5" customHeight="1" x14ac:dyDescent="0.2">
      <c r="A10" s="69" t="s">
        <v>14</v>
      </c>
      <c r="B10" s="79">
        <v>0.15</v>
      </c>
      <c r="C10" s="79">
        <v>0.08</v>
      </c>
      <c r="D10" s="101">
        <v>0.06</v>
      </c>
      <c r="E10" s="100">
        <f t="shared" si="0"/>
        <v>12561.249599999999</v>
      </c>
      <c r="F10" s="71"/>
      <c r="G10" s="72"/>
      <c r="H10" s="73" t="s">
        <v>15</v>
      </c>
      <c r="I10" s="74">
        <v>12561.25</v>
      </c>
      <c r="J10" s="75">
        <v>0</v>
      </c>
      <c r="K10" s="76">
        <f t="shared" si="1"/>
        <v>12561.25</v>
      </c>
      <c r="L10" s="77">
        <f t="shared" si="2"/>
        <v>-4.0000000080908649E-4</v>
      </c>
    </row>
    <row r="11" spans="1:12" s="78" customFormat="1" ht="66" customHeight="1" x14ac:dyDescent="0.2">
      <c r="A11" s="69" t="s">
        <v>16</v>
      </c>
      <c r="B11" s="79">
        <v>3.5</v>
      </c>
      <c r="C11" s="79">
        <v>3.08</v>
      </c>
      <c r="D11" s="101">
        <v>3.08</v>
      </c>
      <c r="E11" s="100">
        <f t="shared" si="0"/>
        <v>644810.81279999996</v>
      </c>
      <c r="F11" s="71" t="s">
        <v>17</v>
      </c>
      <c r="G11" s="72">
        <f>'штатное расписание'!G6</f>
        <v>293130.0458985524</v>
      </c>
      <c r="H11" s="73" t="s">
        <v>96</v>
      </c>
      <c r="I11" s="74">
        <v>42680.77</v>
      </c>
      <c r="J11" s="75">
        <f>'план работ'!D10</f>
        <v>309000</v>
      </c>
      <c r="K11" s="76">
        <f t="shared" si="1"/>
        <v>644810.81589855242</v>
      </c>
      <c r="L11" s="77">
        <f t="shared" si="2"/>
        <v>-3.0985523480921984E-3</v>
      </c>
    </row>
    <row r="12" spans="1:12" s="78" customFormat="1" ht="76.5" customHeight="1" x14ac:dyDescent="0.2">
      <c r="A12" s="69" t="s">
        <v>18</v>
      </c>
      <c r="B12" s="79">
        <v>3.75</v>
      </c>
      <c r="C12" s="79">
        <v>3.31</v>
      </c>
      <c r="D12" s="101">
        <v>2.39</v>
      </c>
      <c r="E12" s="100">
        <f t="shared" si="0"/>
        <v>500356.44240000006</v>
      </c>
      <c r="F12" s="71" t="s">
        <v>19</v>
      </c>
      <c r="G12" s="72">
        <f>'штатное расписание'!G10</f>
        <v>310220.36012710369</v>
      </c>
      <c r="H12" s="73" t="s">
        <v>20</v>
      </c>
      <c r="I12" s="74">
        <v>20136.080000000002</v>
      </c>
      <c r="J12" s="75">
        <f>'план работ'!D15</f>
        <v>170000</v>
      </c>
      <c r="K12" s="76">
        <f t="shared" si="1"/>
        <v>500356.44012710371</v>
      </c>
      <c r="L12" s="77">
        <f t="shared" si="2"/>
        <v>2.272896294016391E-3</v>
      </c>
    </row>
    <row r="13" spans="1:12" s="78" customFormat="1" ht="66" customHeight="1" x14ac:dyDescent="0.2">
      <c r="A13" s="69" t="s">
        <v>21</v>
      </c>
      <c r="B13" s="79">
        <v>1.3</v>
      </c>
      <c r="C13" s="79">
        <v>1.1000000000000001</v>
      </c>
      <c r="D13" s="101">
        <v>1.1000000000000001</v>
      </c>
      <c r="E13" s="100">
        <f t="shared" si="0"/>
        <v>230289.57600000003</v>
      </c>
      <c r="F13" s="71" t="s">
        <v>22</v>
      </c>
      <c r="G13" s="72">
        <f>'штатное расписание'!G15</f>
        <v>155110.18006355184</v>
      </c>
      <c r="H13" s="73" t="s">
        <v>97</v>
      </c>
      <c r="I13" s="74">
        <v>10179.4</v>
      </c>
      <c r="J13" s="75">
        <f>'план работ'!D27</f>
        <v>65000</v>
      </c>
      <c r="K13" s="76">
        <f t="shared" si="1"/>
        <v>230289.58006355184</v>
      </c>
      <c r="L13" s="77">
        <f t="shared" si="2"/>
        <v>-4.0635518089402467E-3</v>
      </c>
    </row>
    <row r="14" spans="1:12" s="78" customFormat="1" ht="76.5" customHeight="1" x14ac:dyDescent="0.2">
      <c r="A14" s="69" t="s">
        <v>23</v>
      </c>
      <c r="B14" s="79">
        <v>3.01</v>
      </c>
      <c r="C14" s="79">
        <v>0.9</v>
      </c>
      <c r="D14" s="101">
        <v>2.6</v>
      </c>
      <c r="E14" s="100">
        <f t="shared" ref="E14:E15" si="3">D14*17446.18*12</f>
        <v>544320.81599999999</v>
      </c>
      <c r="F14" s="71" t="str">
        <f>'штатное расписание'!A18</f>
        <v>техник теплового узла</v>
      </c>
      <c r="G14" s="72">
        <f>'штатное расписание'!G18</f>
        <v>29083.158761915969</v>
      </c>
      <c r="H14" s="73" t="s">
        <v>94</v>
      </c>
      <c r="I14" s="74">
        <v>16237.66</v>
      </c>
      <c r="J14" s="75">
        <f>'план работ'!D21</f>
        <v>499000</v>
      </c>
      <c r="K14" s="76">
        <f t="shared" si="1"/>
        <v>544320.81876191602</v>
      </c>
      <c r="L14" s="77">
        <f t="shared" ref="L14" si="4">(D14*12*17446.18)-K14</f>
        <v>-2.7619159081950784E-3</v>
      </c>
    </row>
    <row r="15" spans="1:12" s="78" customFormat="1" ht="76.5" customHeight="1" x14ac:dyDescent="0.2">
      <c r="A15" s="69" t="s">
        <v>105</v>
      </c>
      <c r="B15" s="79">
        <v>0.3</v>
      </c>
      <c r="C15" s="79">
        <v>0</v>
      </c>
      <c r="D15" s="101">
        <v>0.3</v>
      </c>
      <c r="E15" s="100">
        <f t="shared" si="3"/>
        <v>62806.248000000007</v>
      </c>
      <c r="F15" s="71"/>
      <c r="G15" s="72"/>
      <c r="H15" s="73" t="s">
        <v>15</v>
      </c>
      <c r="I15" s="74">
        <v>62806.25</v>
      </c>
      <c r="J15" s="75"/>
      <c r="K15" s="76">
        <f t="shared" si="1"/>
        <v>62806.25</v>
      </c>
      <c r="L15" s="77">
        <f t="shared" si="2"/>
        <v>-2.0000000076834112E-3</v>
      </c>
    </row>
    <row r="16" spans="1:12" s="78" customFormat="1" ht="153.75" customHeight="1" x14ac:dyDescent="0.2">
      <c r="A16" s="69" t="s">
        <v>24</v>
      </c>
      <c r="B16" s="79">
        <v>3.7</v>
      </c>
      <c r="C16" s="79">
        <v>4</v>
      </c>
      <c r="D16" s="101">
        <v>4</v>
      </c>
      <c r="E16" s="100">
        <f t="shared" si="0"/>
        <v>837416.64</v>
      </c>
      <c r="F16" s="71" t="s">
        <v>91</v>
      </c>
      <c r="G16" s="72">
        <f>'штатное расписание'!G5+'штатное расписание'!G7+'штатное расписание'!G8+'штатное расписание'!G9</f>
        <v>804634.05907967524</v>
      </c>
      <c r="H16" s="73" t="s">
        <v>25</v>
      </c>
      <c r="I16" s="74">
        <v>32782.58</v>
      </c>
      <c r="J16" s="75">
        <v>0</v>
      </c>
      <c r="K16" s="76">
        <f t="shared" si="1"/>
        <v>837416.63907967519</v>
      </c>
      <c r="L16" s="77">
        <f t="shared" si="2"/>
        <v>9.2032481916248798E-4</v>
      </c>
    </row>
    <row r="17" spans="1:12" s="78" customFormat="1" ht="98.25" customHeight="1" x14ac:dyDescent="0.2">
      <c r="A17" s="69" t="s">
        <v>26</v>
      </c>
      <c r="B17" s="79">
        <v>3.79</v>
      </c>
      <c r="C17" s="79">
        <v>2.25</v>
      </c>
      <c r="D17" s="101">
        <v>2.25</v>
      </c>
      <c r="E17" s="100">
        <f t="shared" si="0"/>
        <v>471046.86</v>
      </c>
      <c r="F17" s="71"/>
      <c r="G17" s="72"/>
      <c r="H17" s="73" t="s">
        <v>64</v>
      </c>
      <c r="I17" s="74">
        <v>400000</v>
      </c>
      <c r="J17" s="75">
        <f>'план работ'!D29</f>
        <v>71046.86</v>
      </c>
      <c r="K17" s="76">
        <f t="shared" si="1"/>
        <v>471046.86</v>
      </c>
      <c r="L17" s="77">
        <f t="shared" si="2"/>
        <v>0</v>
      </c>
    </row>
    <row r="18" spans="1:12" s="78" customFormat="1" ht="69.75" customHeight="1" x14ac:dyDescent="0.2">
      <c r="A18" s="69" t="s">
        <v>27</v>
      </c>
      <c r="B18" s="79">
        <v>0.56999999999999995</v>
      </c>
      <c r="C18" s="79">
        <v>0.45</v>
      </c>
      <c r="D18" s="101">
        <v>0.38</v>
      </c>
      <c r="E18" s="100">
        <f t="shared" si="0"/>
        <v>79554.580800000011</v>
      </c>
      <c r="F18" s="71" t="s">
        <v>28</v>
      </c>
      <c r="G18" s="72">
        <f>'штатное расписание'!G17</f>
        <v>67860.703777803938</v>
      </c>
      <c r="H18" s="73" t="s">
        <v>29</v>
      </c>
      <c r="I18" s="74">
        <v>11693.88</v>
      </c>
      <c r="J18" s="75">
        <v>0</v>
      </c>
      <c r="K18" s="76">
        <f t="shared" si="1"/>
        <v>79554.583777803942</v>
      </c>
      <c r="L18" s="77">
        <f t="shared" si="2"/>
        <v>-2.9778039315715432E-3</v>
      </c>
    </row>
    <row r="19" spans="1:12" s="78" customFormat="1" ht="69.75" customHeight="1" x14ac:dyDescent="0.2">
      <c r="A19" s="69" t="s">
        <v>30</v>
      </c>
      <c r="B19" s="79">
        <v>0.23</v>
      </c>
      <c r="C19" s="79">
        <v>0.38</v>
      </c>
      <c r="D19" s="101">
        <v>0.28000000000000003</v>
      </c>
      <c r="E19" s="100">
        <f t="shared" si="0"/>
        <v>58619.164799999999</v>
      </c>
      <c r="F19" s="71" t="s">
        <v>31</v>
      </c>
      <c r="G19" s="72">
        <f>'штатное расписание'!G16</f>
        <v>29083.158761915969</v>
      </c>
      <c r="H19" s="73" t="s">
        <v>32</v>
      </c>
      <c r="I19" s="74">
        <v>4536.01</v>
      </c>
      <c r="J19" s="75">
        <f>'план работ'!D30</f>
        <v>25000</v>
      </c>
      <c r="K19" s="76">
        <f t="shared" si="1"/>
        <v>58619.168761915971</v>
      </c>
      <c r="L19" s="77">
        <f t="shared" si="2"/>
        <v>-3.9619159651920199E-3</v>
      </c>
    </row>
    <row r="20" spans="1:12" s="78" customFormat="1" ht="55.5" customHeight="1" x14ac:dyDescent="0.2">
      <c r="A20" s="69" t="s">
        <v>33</v>
      </c>
      <c r="B20" s="79">
        <v>1.39</v>
      </c>
      <c r="C20" s="79">
        <v>1.39</v>
      </c>
      <c r="D20" s="101">
        <v>1.39</v>
      </c>
      <c r="E20" s="100">
        <f t="shared" si="0"/>
        <v>291002.28239999997</v>
      </c>
      <c r="F20" s="71"/>
      <c r="G20" s="72"/>
      <c r="H20" s="73" t="s">
        <v>34</v>
      </c>
      <c r="I20" s="74">
        <v>291002.28000000003</v>
      </c>
      <c r="J20" s="75">
        <v>0</v>
      </c>
      <c r="K20" s="76">
        <f t="shared" si="1"/>
        <v>291002.28000000003</v>
      </c>
      <c r="L20" s="77">
        <f t="shared" si="2"/>
        <v>2.3999999975785613E-3</v>
      </c>
    </row>
    <row r="21" spans="1:12" s="88" customFormat="1" ht="24" customHeight="1" thickBot="1" x14ac:dyDescent="0.25">
      <c r="A21" s="80" t="s">
        <v>35</v>
      </c>
      <c r="B21" s="81">
        <f t="shared" ref="B21" si="5">SUM(B7:B20)</f>
        <v>27.66</v>
      </c>
      <c r="C21" s="81">
        <f t="shared" ref="C21" si="6">SUM(C7:C20)</f>
        <v>22.29</v>
      </c>
      <c r="D21" s="102">
        <f t="shared" ref="D21" si="7">SUM(D7:D20)</f>
        <v>22.94</v>
      </c>
      <c r="E21" s="100">
        <f t="shared" ref="E21" si="8">D21*17446.18*12</f>
        <v>4802584.4304</v>
      </c>
      <c r="F21" s="82"/>
      <c r="G21" s="81">
        <f t="shared" ref="G21" si="9">SUM(G7:G20)</f>
        <v>2542227.7991055669</v>
      </c>
      <c r="H21" s="83"/>
      <c r="I21" s="84">
        <f>SUM(I7:I20)</f>
        <v>938960.77</v>
      </c>
      <c r="J21" s="85">
        <f t="shared" ref="J21:L21" si="10">SUM(J7:J20)</f>
        <v>1321395.8800000001</v>
      </c>
      <c r="K21" s="86">
        <f t="shared" si="10"/>
        <v>4802584.4491055664</v>
      </c>
      <c r="L21" s="87">
        <f t="shared" si="10"/>
        <v>-1.8705566344578983E-2</v>
      </c>
    </row>
    <row r="22" spans="1:12" s="60" customFormat="1" ht="34.5" hidden="1" customHeight="1" x14ac:dyDescent="0.3">
      <c r="A22" s="89" t="s">
        <v>36</v>
      </c>
      <c r="B22" s="89"/>
      <c r="C22" s="56"/>
      <c r="D22" s="103"/>
      <c r="E22" s="104"/>
      <c r="F22" s="56"/>
      <c r="G22" s="90">
        <f>G21-'штатное расписание'!G20</f>
        <v>0.14228551322594285</v>
      </c>
      <c r="H22" s="65"/>
      <c r="I22" s="91"/>
      <c r="J22" s="92"/>
      <c r="K22" s="56"/>
      <c r="L22" s="59"/>
    </row>
    <row r="23" spans="1:12" hidden="1" x14ac:dyDescent="0.25">
      <c r="E23" s="105"/>
      <c r="G23" s="94"/>
      <c r="I23" s="93"/>
      <c r="J23" s="95"/>
    </row>
    <row r="24" spans="1:12" hidden="1" x14ac:dyDescent="0.25">
      <c r="J24" s="95"/>
    </row>
    <row r="25" spans="1:12" ht="9" customHeight="1" x14ac:dyDescent="0.25">
      <c r="J25" s="95"/>
    </row>
    <row r="26" spans="1:12" ht="20.25" hidden="1" x14ac:dyDescent="0.25">
      <c r="C26" s="96">
        <f>C21-D21</f>
        <v>-0.65000000000000213</v>
      </c>
    </row>
  </sheetData>
  <mergeCells count="10">
    <mergeCell ref="K5:K6"/>
    <mergeCell ref="A4:A6"/>
    <mergeCell ref="D4:D6"/>
    <mergeCell ref="C4:C6"/>
    <mergeCell ref="E4:E6"/>
    <mergeCell ref="F4:K4"/>
    <mergeCell ref="F5:G5"/>
    <mergeCell ref="B4:B6"/>
    <mergeCell ref="J5:J6"/>
    <mergeCell ref="H5:I5"/>
  </mergeCells>
  <printOptions gridLines="1"/>
  <pageMargins left="0.15748031496062992" right="0.15748031496062992" top="0.19685039370078741" bottom="0.15748031496062992" header="0.51181102362204722" footer="0.51181102362204722"/>
  <pageSetup paperSize="9" scale="39" firstPageNumber="0" fitToHeight="2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22"/>
  <sheetViews>
    <sheetView zoomScale="76" zoomScaleNormal="76" workbookViewId="0">
      <pane ySplit="1" topLeftCell="A2" activePane="bottomLeft" state="frozen"/>
      <selection pane="bottomLeft" activeCell="B5" sqref="B5"/>
    </sheetView>
  </sheetViews>
  <sheetFormatPr defaultRowHeight="12.75" x14ac:dyDescent="0.2"/>
  <cols>
    <col min="1" max="1" width="43.5703125" style="1" customWidth="1"/>
    <col min="2" max="2" width="10.42578125" style="2" customWidth="1"/>
    <col min="3" max="3" width="18.140625" style="3" customWidth="1"/>
    <col min="4" max="4" width="18.140625" style="4" customWidth="1"/>
    <col min="5" max="6" width="18.140625" style="3" customWidth="1"/>
    <col min="7" max="7" width="23" style="5" customWidth="1"/>
    <col min="8" max="8" width="21.42578125" style="5" customWidth="1"/>
    <col min="9" max="257" width="9.140625" style="5" customWidth="1"/>
    <col min="258" max="1025" width="9.140625" customWidth="1"/>
  </cols>
  <sheetData>
    <row r="1" spans="1:9" s="6" customFormat="1" ht="29.25" customHeight="1" x14ac:dyDescent="0.2">
      <c r="B1" s="7"/>
      <c r="C1" s="121" t="s">
        <v>37</v>
      </c>
      <c r="D1" s="121"/>
      <c r="E1" s="121"/>
      <c r="F1" s="121"/>
      <c r="G1" s="121"/>
    </row>
    <row r="2" spans="1:9" s="6" customFormat="1" ht="39.75" customHeight="1" x14ac:dyDescent="0.2">
      <c r="A2" s="122" t="s">
        <v>38</v>
      </c>
      <c r="B2" s="122"/>
      <c r="C2" s="122"/>
      <c r="D2" s="122"/>
      <c r="E2" s="122"/>
      <c r="F2" s="122"/>
      <c r="G2" s="122"/>
      <c r="H2" s="122"/>
    </row>
    <row r="3" spans="1:9" s="11" customFormat="1" ht="77.25" customHeight="1" x14ac:dyDescent="0.2">
      <c r="A3" s="8" t="s">
        <v>39</v>
      </c>
      <c r="B3" s="9" t="s">
        <v>40</v>
      </c>
      <c r="C3" s="8" t="s">
        <v>41</v>
      </c>
      <c r="D3" s="10" t="s">
        <v>42</v>
      </c>
      <c r="E3" s="8" t="s">
        <v>43</v>
      </c>
      <c r="F3" s="8" t="s">
        <v>44</v>
      </c>
      <c r="G3" s="8" t="s">
        <v>45</v>
      </c>
      <c r="H3" s="8" t="s">
        <v>46</v>
      </c>
    </row>
    <row r="4" spans="1:9" s="11" customFormat="1" ht="13.5" customHeight="1" x14ac:dyDescent="0.2">
      <c r="A4" s="12">
        <v>1</v>
      </c>
      <c r="B4" s="13"/>
      <c r="C4" s="12">
        <v>2</v>
      </c>
      <c r="D4" s="14">
        <v>3</v>
      </c>
      <c r="E4" s="12">
        <v>4</v>
      </c>
      <c r="F4" s="12">
        <v>5</v>
      </c>
      <c r="G4" s="12">
        <v>6</v>
      </c>
      <c r="H4" s="12">
        <v>7</v>
      </c>
    </row>
    <row r="5" spans="1:9" s="20" customFormat="1" ht="31.5" customHeight="1" x14ac:dyDescent="0.3">
      <c r="A5" s="15" t="s">
        <v>47</v>
      </c>
      <c r="B5" s="16">
        <v>1</v>
      </c>
      <c r="C5" s="17">
        <f t="shared" ref="C5:C17" si="0">(D5*100)/87</f>
        <v>22988.505747126437</v>
      </c>
      <c r="D5" s="18">
        <v>20000</v>
      </c>
      <c r="E5" s="17">
        <f>(C5/29.3)*28</f>
        <v>21968.537915342669</v>
      </c>
      <c r="F5" s="17">
        <f t="shared" ref="F5:F10" si="1">(C5*12)+E5</f>
        <v>297830.60688085988</v>
      </c>
      <c r="G5" s="19">
        <f t="shared" ref="G5:G19" si="2">F5+(F5*30.2)/100</f>
        <v>387775.45015887957</v>
      </c>
      <c r="H5" s="19">
        <f t="shared" ref="H5:H10" si="3">G5/12</f>
        <v>32314.620846573296</v>
      </c>
    </row>
    <row r="6" spans="1:9" s="20" customFormat="1" ht="31.5" customHeight="1" x14ac:dyDescent="0.3">
      <c r="A6" s="15" t="s">
        <v>48</v>
      </c>
      <c r="B6" s="16">
        <v>1</v>
      </c>
      <c r="C6" s="17">
        <f t="shared" si="0"/>
        <v>17241.379310344826</v>
      </c>
      <c r="D6" s="18">
        <v>15000</v>
      </c>
      <c r="E6" s="17">
        <f>(C6/29.3)*31</f>
        <v>18241.73237613275</v>
      </c>
      <c r="F6" s="17">
        <f t="shared" si="1"/>
        <v>225138.28410027066</v>
      </c>
      <c r="G6" s="19">
        <f t="shared" si="2"/>
        <v>293130.0458985524</v>
      </c>
      <c r="H6" s="19">
        <f t="shared" si="3"/>
        <v>24427.503824879368</v>
      </c>
    </row>
    <row r="7" spans="1:9" s="20" customFormat="1" ht="31.5" customHeight="1" x14ac:dyDescent="0.3">
      <c r="A7" s="15" t="s">
        <v>49</v>
      </c>
      <c r="B7" s="16">
        <v>0.25</v>
      </c>
      <c r="C7" s="17">
        <f t="shared" si="0"/>
        <v>5747.1264367816093</v>
      </c>
      <c r="D7" s="18">
        <v>5000</v>
      </c>
      <c r="E7" s="17">
        <f>(C7/29.3)*28</f>
        <v>5492.1344788356673</v>
      </c>
      <c r="F7" s="17">
        <f t="shared" si="1"/>
        <v>74457.65172021497</v>
      </c>
      <c r="G7" s="19">
        <f t="shared" si="2"/>
        <v>96943.862539719892</v>
      </c>
      <c r="H7" s="19">
        <f t="shared" si="3"/>
        <v>8078.655211643324</v>
      </c>
    </row>
    <row r="8" spans="1:9" s="20" customFormat="1" ht="41.25" customHeight="1" x14ac:dyDescent="0.3">
      <c r="A8" s="15" t="s">
        <v>50</v>
      </c>
      <c r="B8" s="16">
        <v>0.5</v>
      </c>
      <c r="C8" s="17">
        <f t="shared" si="0"/>
        <v>13793.103448275862</v>
      </c>
      <c r="D8" s="18">
        <v>12000</v>
      </c>
      <c r="E8" s="17">
        <f>(C8/29.3)*28</f>
        <v>13181.122749205602</v>
      </c>
      <c r="F8" s="17">
        <f t="shared" si="1"/>
        <v>178698.36412851594</v>
      </c>
      <c r="G8" s="19">
        <f t="shared" si="2"/>
        <v>232665.27009532775</v>
      </c>
      <c r="H8" s="19">
        <f t="shared" si="3"/>
        <v>19388.772507943981</v>
      </c>
    </row>
    <row r="9" spans="1:9" s="20" customFormat="1" ht="42" customHeight="1" x14ac:dyDescent="0.3">
      <c r="A9" s="15" t="s">
        <v>51</v>
      </c>
      <c r="B9" s="16">
        <v>0.25</v>
      </c>
      <c r="C9" s="17">
        <f t="shared" si="0"/>
        <v>5172.4137931034484</v>
      </c>
      <c r="D9" s="18">
        <v>4500</v>
      </c>
      <c r="E9" s="17">
        <f>(C9/29.3)*28</f>
        <v>4942.9210309521004</v>
      </c>
      <c r="F9" s="17">
        <f t="shared" si="1"/>
        <v>67011.886548193477</v>
      </c>
      <c r="G9" s="19">
        <f t="shared" si="2"/>
        <v>87249.476285747907</v>
      </c>
      <c r="H9" s="19">
        <f t="shared" si="3"/>
        <v>7270.7896904789923</v>
      </c>
    </row>
    <row r="10" spans="1:9" s="20" customFormat="1" ht="29.25" customHeight="1" x14ac:dyDescent="0.3">
      <c r="A10" s="15" t="s">
        <v>19</v>
      </c>
      <c r="B10" s="16">
        <v>1</v>
      </c>
      <c r="C10" s="17">
        <f t="shared" si="0"/>
        <v>18390.80459770115</v>
      </c>
      <c r="D10" s="18">
        <v>16000</v>
      </c>
      <c r="E10" s="17">
        <f>(C10/29.3)*28</f>
        <v>17574.830332274134</v>
      </c>
      <c r="F10" s="17">
        <f t="shared" si="1"/>
        <v>238264.48550468794</v>
      </c>
      <c r="G10" s="19">
        <f t="shared" si="2"/>
        <v>310220.36012710369</v>
      </c>
      <c r="H10" s="19">
        <f t="shared" si="3"/>
        <v>25851.696677258642</v>
      </c>
    </row>
    <row r="11" spans="1:9" s="20" customFormat="1" ht="34.5" customHeight="1" x14ac:dyDescent="0.3">
      <c r="A11" s="15" t="s">
        <v>52</v>
      </c>
      <c r="B11" s="16">
        <v>1</v>
      </c>
      <c r="C11" s="17">
        <f t="shared" si="0"/>
        <v>18390.80459770115</v>
      </c>
      <c r="D11" s="18">
        <v>16000</v>
      </c>
      <c r="E11" s="17">
        <f>((C11/29.3)*28)/12*6</f>
        <v>8787.415166137067</v>
      </c>
      <c r="F11" s="17">
        <f>(C11*6)+E11</f>
        <v>119132.24275234397</v>
      </c>
      <c r="G11" s="19">
        <f t="shared" si="2"/>
        <v>155110.18006355184</v>
      </c>
      <c r="H11" s="19">
        <f>G11/7</f>
        <v>22158.597151935977</v>
      </c>
      <c r="I11" s="20" t="s">
        <v>53</v>
      </c>
    </row>
    <row r="12" spans="1:9" s="20" customFormat="1" ht="45.75" customHeight="1" x14ac:dyDescent="0.3">
      <c r="A12" s="15" t="s">
        <v>54</v>
      </c>
      <c r="B12" s="16">
        <v>1</v>
      </c>
      <c r="C12" s="17">
        <f t="shared" si="0"/>
        <v>20689.655172413793</v>
      </c>
      <c r="D12" s="18">
        <v>18000</v>
      </c>
      <c r="E12" s="17">
        <f>((C12/29.3)*28)/12*6</f>
        <v>9885.8420619042008</v>
      </c>
      <c r="F12" s="17">
        <f>(C12*6)+E12</f>
        <v>134023.77309638695</v>
      </c>
      <c r="G12" s="19">
        <f t="shared" si="2"/>
        <v>174498.95257149581</v>
      </c>
      <c r="H12" s="19">
        <f>G12/5</f>
        <v>34899.790514299166</v>
      </c>
      <c r="I12" s="20" t="s">
        <v>55</v>
      </c>
    </row>
    <row r="13" spans="1:9" s="20" customFormat="1" ht="48" hidden="1" customHeight="1" x14ac:dyDescent="0.3">
      <c r="A13" s="15" t="s">
        <v>85</v>
      </c>
      <c r="B13" s="16">
        <v>0.25</v>
      </c>
      <c r="C13" s="17">
        <f t="shared" si="0"/>
        <v>0</v>
      </c>
      <c r="D13" s="18">
        <v>0</v>
      </c>
      <c r="E13" s="17">
        <f t="shared" ref="E13:E19" si="4">(C13/29.3)*28</f>
        <v>0</v>
      </c>
      <c r="F13" s="17">
        <f t="shared" ref="F13:F17" si="5">(C13*12)+E13</f>
        <v>0</v>
      </c>
      <c r="G13" s="19">
        <f t="shared" si="2"/>
        <v>0</v>
      </c>
      <c r="H13" s="19">
        <f t="shared" ref="H13:H19" si="6">G13/12</f>
        <v>0</v>
      </c>
    </row>
    <row r="14" spans="1:9" s="20" customFormat="1" ht="35.25" customHeight="1" x14ac:dyDescent="0.3">
      <c r="A14" s="15" t="s">
        <v>56</v>
      </c>
      <c r="B14" s="16">
        <v>1</v>
      </c>
      <c r="C14" s="17">
        <f t="shared" si="0"/>
        <v>11494.252873563219</v>
      </c>
      <c r="D14" s="18">
        <v>10000</v>
      </c>
      <c r="E14" s="17">
        <f t="shared" si="4"/>
        <v>10984.268957671335</v>
      </c>
      <c r="F14" s="17">
        <f t="shared" si="5"/>
        <v>148915.30344042994</v>
      </c>
      <c r="G14" s="19">
        <f t="shared" si="2"/>
        <v>193887.72507943978</v>
      </c>
      <c r="H14" s="19">
        <f t="shared" si="6"/>
        <v>16157.310423286648</v>
      </c>
    </row>
    <row r="15" spans="1:9" s="20" customFormat="1" ht="27" customHeight="1" x14ac:dyDescent="0.3">
      <c r="A15" s="15" t="s">
        <v>57</v>
      </c>
      <c r="B15" s="16">
        <v>0.5</v>
      </c>
      <c r="C15" s="17">
        <f t="shared" si="0"/>
        <v>9195.4022988505749</v>
      </c>
      <c r="D15" s="18">
        <v>8000</v>
      </c>
      <c r="E15" s="17">
        <f t="shared" si="4"/>
        <v>8787.415166137067</v>
      </c>
      <c r="F15" s="17">
        <f t="shared" si="5"/>
        <v>119132.24275234397</v>
      </c>
      <c r="G15" s="19">
        <f t="shared" si="2"/>
        <v>155110.18006355184</v>
      </c>
      <c r="H15" s="19">
        <f t="shared" si="6"/>
        <v>12925.848338629321</v>
      </c>
    </row>
    <row r="16" spans="1:9" s="20" customFormat="1" ht="27" customHeight="1" x14ac:dyDescent="0.3">
      <c r="A16" s="15" t="s">
        <v>58</v>
      </c>
      <c r="B16" s="16">
        <v>0.25</v>
      </c>
      <c r="C16" s="17">
        <f t="shared" si="0"/>
        <v>1724.1379310344828</v>
      </c>
      <c r="D16" s="18">
        <v>1500</v>
      </c>
      <c r="E16" s="17">
        <f t="shared" si="4"/>
        <v>1647.6403436507003</v>
      </c>
      <c r="F16" s="17">
        <f t="shared" si="5"/>
        <v>22337.295516064492</v>
      </c>
      <c r="G16" s="19">
        <f t="shared" si="2"/>
        <v>29083.158761915969</v>
      </c>
      <c r="H16" s="19">
        <f t="shared" si="6"/>
        <v>2423.5965634929976</v>
      </c>
    </row>
    <row r="17" spans="1:8" s="20" customFormat="1" ht="27" customHeight="1" x14ac:dyDescent="0.3">
      <c r="A17" s="15" t="s">
        <v>28</v>
      </c>
      <c r="B17" s="16">
        <v>0.25</v>
      </c>
      <c r="C17" s="17">
        <f t="shared" si="0"/>
        <v>4022.9885057471265</v>
      </c>
      <c r="D17" s="18">
        <v>3500</v>
      </c>
      <c r="E17" s="17">
        <f t="shared" si="4"/>
        <v>3844.4941351849675</v>
      </c>
      <c r="F17" s="17">
        <f t="shared" si="5"/>
        <v>52120.356204150492</v>
      </c>
      <c r="G17" s="19">
        <f t="shared" si="2"/>
        <v>67860.703777803938</v>
      </c>
      <c r="H17" s="19">
        <f t="shared" si="6"/>
        <v>5655.0586481503278</v>
      </c>
    </row>
    <row r="18" spans="1:8" s="20" customFormat="1" ht="27" customHeight="1" x14ac:dyDescent="0.3">
      <c r="A18" s="15" t="s">
        <v>86</v>
      </c>
      <c r="B18" s="16">
        <v>0.25</v>
      </c>
      <c r="C18" s="17">
        <f t="shared" ref="C18" si="7">(D18*100)/87</f>
        <v>1724.1379310344828</v>
      </c>
      <c r="D18" s="18">
        <v>1500</v>
      </c>
      <c r="E18" s="17">
        <f t="shared" ref="E18" si="8">(C18/29.3)*28</f>
        <v>1647.6403436507003</v>
      </c>
      <c r="F18" s="17">
        <f t="shared" ref="F18" si="9">(C18*12)+E18</f>
        <v>22337.295516064492</v>
      </c>
      <c r="G18" s="19">
        <f t="shared" ref="G18" si="10">F18+(F18*30.2)/100</f>
        <v>29083.158761915969</v>
      </c>
      <c r="H18" s="19">
        <f t="shared" ref="H18" si="11">G18/12</f>
        <v>2423.5965634929976</v>
      </c>
    </row>
    <row r="19" spans="1:8" s="20" customFormat="1" ht="27" customHeight="1" x14ac:dyDescent="0.3">
      <c r="A19" s="15" t="s">
        <v>12</v>
      </c>
      <c r="B19" s="16">
        <v>1</v>
      </c>
      <c r="C19" s="17">
        <f>(D19*100)/87</f>
        <v>19540.22988505747</v>
      </c>
      <c r="D19" s="18">
        <v>17000</v>
      </c>
      <c r="E19" s="17">
        <f t="shared" si="4"/>
        <v>18673.257228041268</v>
      </c>
      <c r="F19" s="17">
        <f>(C19*12)+E19</f>
        <v>253156.01584873089</v>
      </c>
      <c r="G19" s="19">
        <f t="shared" si="2"/>
        <v>329609.1326350476</v>
      </c>
      <c r="H19" s="19">
        <f t="shared" si="6"/>
        <v>27467.4277195873</v>
      </c>
    </row>
    <row r="20" spans="1:8" s="20" customFormat="1" ht="27" customHeight="1" x14ac:dyDescent="0.3">
      <c r="A20" s="15" t="s">
        <v>59</v>
      </c>
      <c r="B20" s="16">
        <f t="shared" ref="B20:G20" si="12">SUM(B5:B19)</f>
        <v>9.5</v>
      </c>
      <c r="C20" s="17">
        <f>SUM(C5:C19)</f>
        <v>170114.94252873567</v>
      </c>
      <c r="D20" s="18">
        <f t="shared" si="12"/>
        <v>148000</v>
      </c>
      <c r="E20" s="17">
        <f t="shared" si="12"/>
        <v>145659.25228512022</v>
      </c>
      <c r="F20" s="17">
        <f t="shared" si="12"/>
        <v>1952555.8040092578</v>
      </c>
      <c r="G20" s="17">
        <f t="shared" si="12"/>
        <v>2542227.6568200537</v>
      </c>
      <c r="H20" s="17"/>
    </row>
    <row r="21" spans="1:8" x14ac:dyDescent="0.2">
      <c r="G21" s="5">
        <f>'фин план'!G21</f>
        <v>2542227.7991055669</v>
      </c>
    </row>
    <row r="22" spans="1:8" x14ac:dyDescent="0.2">
      <c r="G22" s="5">
        <f>G20-G21</f>
        <v>-0.14228551322594285</v>
      </c>
    </row>
  </sheetData>
  <mergeCells count="2">
    <mergeCell ref="C1:G1"/>
    <mergeCell ref="A2:H2"/>
  </mergeCells>
  <printOptions gridLines="1"/>
  <pageMargins left="0.19027777777777799" right="0.17013888888888901" top="0.17013888888888901" bottom="0.17013888888888901" header="0.51180555555555496" footer="0.51180555555555496"/>
  <pageSetup paperSize="9" scale="77" firstPageNumber="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2"/>
  <sheetViews>
    <sheetView topLeftCell="A2" zoomScale="53" zoomScaleNormal="53" workbookViewId="0">
      <pane xSplit="3" ySplit="4" topLeftCell="D6" activePane="bottomRight" state="frozen"/>
      <selection pane="topRight" activeCell="D2" sqref="D2"/>
      <selection pane="bottomLeft" activeCell="A6" sqref="A6"/>
      <selection pane="bottomRight" activeCell="E2" sqref="E1:F1048576"/>
    </sheetView>
  </sheetViews>
  <sheetFormatPr defaultRowHeight="26.25" x14ac:dyDescent="0.4"/>
  <cols>
    <col min="1" max="1" width="0.85546875" style="26" customWidth="1"/>
    <col min="2" max="2" width="50.140625" style="37" customWidth="1"/>
    <col min="3" max="3" width="116.5703125" style="26" customWidth="1"/>
    <col min="4" max="4" width="27.85546875" style="38" customWidth="1"/>
    <col min="5" max="5" width="19.85546875" style="26" hidden="1" customWidth="1"/>
    <col min="6" max="6" width="22.140625" style="26" hidden="1" customWidth="1"/>
    <col min="7" max="255" width="9.140625" style="26" customWidth="1"/>
    <col min="256" max="1023" width="9.140625" style="29" customWidth="1"/>
    <col min="1024" max="16384" width="9.140625" style="29"/>
  </cols>
  <sheetData>
    <row r="1" spans="2:6" s="21" customFormat="1" x14ac:dyDescent="0.2">
      <c r="D1" s="22"/>
    </row>
    <row r="2" spans="2:6" s="21" customFormat="1" x14ac:dyDescent="0.2">
      <c r="D2" s="22"/>
    </row>
    <row r="3" spans="2:6" s="21" customFormat="1" ht="20.25" customHeight="1" x14ac:dyDescent="0.2">
      <c r="B3" s="129" t="s">
        <v>89</v>
      </c>
      <c r="C3" s="129"/>
      <c r="D3" s="22"/>
    </row>
    <row r="4" spans="2:6" s="21" customFormat="1" ht="27" thickBot="1" x14ac:dyDescent="0.25">
      <c r="D4" s="22"/>
    </row>
    <row r="5" spans="2:6" s="21" customFormat="1" ht="79.5" thickBot="1" x14ac:dyDescent="0.25">
      <c r="B5" s="23" t="s">
        <v>60</v>
      </c>
      <c r="C5" s="24" t="s">
        <v>61</v>
      </c>
      <c r="D5" s="25" t="s">
        <v>62</v>
      </c>
    </row>
    <row r="6" spans="2:6" ht="54.75" customHeight="1" x14ac:dyDescent="0.4">
      <c r="B6" s="126" t="str">
        <f>'фин план'!A11</f>
        <v>тех. обслуживание и ремонт жилого здания</v>
      </c>
      <c r="C6" s="27" t="s">
        <v>73</v>
      </c>
      <c r="D6" s="28">
        <v>200000</v>
      </c>
    </row>
    <row r="7" spans="2:6" ht="54.75" customHeight="1" x14ac:dyDescent="0.4">
      <c r="B7" s="127"/>
      <c r="C7" s="30" t="s">
        <v>67</v>
      </c>
      <c r="D7" s="31">
        <v>24000</v>
      </c>
    </row>
    <row r="8" spans="2:6" ht="54.75" customHeight="1" x14ac:dyDescent="0.4">
      <c r="B8" s="127"/>
      <c r="C8" s="30" t="s">
        <v>71</v>
      </c>
      <c r="D8" s="31">
        <v>60000</v>
      </c>
    </row>
    <row r="9" spans="2:6" ht="54.75" customHeight="1" x14ac:dyDescent="0.4">
      <c r="B9" s="127"/>
      <c r="C9" s="30" t="s">
        <v>74</v>
      </c>
      <c r="D9" s="31">
        <v>25000</v>
      </c>
    </row>
    <row r="10" spans="2:6" ht="54.75" customHeight="1" thickBot="1" x14ac:dyDescent="0.45">
      <c r="B10" s="128"/>
      <c r="C10" s="41" t="s">
        <v>35</v>
      </c>
      <c r="D10" s="33">
        <f>SUM(D6:D9)</f>
        <v>309000</v>
      </c>
      <c r="E10" s="26">
        <f>('фин план'!D11*12*17446.18)-'фин план'!G11-'фин план'!I11</f>
        <v>308999.99690144765</v>
      </c>
      <c r="F10" s="26">
        <f>D10-E10</f>
        <v>3.0985523480921984E-3</v>
      </c>
    </row>
    <row r="11" spans="2:6" ht="105.75" customHeight="1" x14ac:dyDescent="0.4">
      <c r="B11" s="130" t="str">
        <f>'фин план'!A12</f>
        <v>тех. обслуживание и ремонт систем водоснабжения и канализования</v>
      </c>
      <c r="C11" s="30" t="s">
        <v>66</v>
      </c>
      <c r="D11" s="31">
        <v>60000</v>
      </c>
    </row>
    <row r="12" spans="2:6" ht="54.75" customHeight="1" x14ac:dyDescent="0.4">
      <c r="B12" s="130"/>
      <c r="C12" s="30" t="s">
        <v>65</v>
      </c>
      <c r="D12" s="31">
        <v>45000</v>
      </c>
    </row>
    <row r="13" spans="2:6" ht="54.75" customHeight="1" x14ac:dyDescent="0.4">
      <c r="B13" s="130"/>
      <c r="C13" s="30" t="s">
        <v>68</v>
      </c>
      <c r="D13" s="31">
        <v>15000</v>
      </c>
    </row>
    <row r="14" spans="2:6" ht="54.75" customHeight="1" x14ac:dyDescent="0.4">
      <c r="B14" s="130"/>
      <c r="C14" s="32" t="s">
        <v>76</v>
      </c>
      <c r="D14" s="31">
        <v>50000</v>
      </c>
    </row>
    <row r="15" spans="2:6" ht="54.75" customHeight="1" thickBot="1" x14ac:dyDescent="0.45">
      <c r="B15" s="131"/>
      <c r="C15" s="39" t="s">
        <v>35</v>
      </c>
      <c r="D15" s="34">
        <f>SUM(D11:D14)</f>
        <v>170000</v>
      </c>
      <c r="E15" s="26">
        <f>('фин план'!D12*12*17446.18)-'фин план'!G12-'фин план'!I12</f>
        <v>170000.00227289629</v>
      </c>
      <c r="F15" s="26">
        <f t="shared" ref="F15:F30" si="0">D15-E15</f>
        <v>-2.272896294016391E-3</v>
      </c>
    </row>
    <row r="16" spans="2:6" ht="63.75" customHeight="1" x14ac:dyDescent="0.4">
      <c r="B16" s="123" t="str">
        <f>'фин план'!A15</f>
        <v xml:space="preserve">тех. обслуживание и ремонтвент. каналов </v>
      </c>
      <c r="C16" s="27" t="s">
        <v>69</v>
      </c>
      <c r="D16" s="28">
        <v>10000</v>
      </c>
    </row>
    <row r="17" spans="1:6" ht="104.25" customHeight="1" x14ac:dyDescent="0.4">
      <c r="B17" s="124"/>
      <c r="C17" s="30" t="s">
        <v>100</v>
      </c>
      <c r="D17" s="31">
        <v>89000</v>
      </c>
    </row>
    <row r="18" spans="1:6" ht="207" customHeight="1" x14ac:dyDescent="0.4">
      <c r="B18" s="124"/>
      <c r="C18" s="30" t="s">
        <v>79</v>
      </c>
      <c r="D18" s="31">
        <v>360000</v>
      </c>
    </row>
    <row r="19" spans="1:6" ht="54.75" customHeight="1" x14ac:dyDescent="0.4">
      <c r="B19" s="124"/>
      <c r="C19" s="30" t="s">
        <v>70</v>
      </c>
      <c r="D19" s="31">
        <v>20000</v>
      </c>
    </row>
    <row r="20" spans="1:6" ht="54.75" customHeight="1" x14ac:dyDescent="0.4">
      <c r="B20" s="124"/>
      <c r="C20" s="30" t="s">
        <v>101</v>
      </c>
      <c r="D20" s="31">
        <v>20000</v>
      </c>
    </row>
    <row r="21" spans="1:6" ht="54.75" customHeight="1" thickBot="1" x14ac:dyDescent="0.45">
      <c r="B21" s="125"/>
      <c r="C21" s="39" t="s">
        <v>35</v>
      </c>
      <c r="D21" s="34">
        <f>SUM(D16:D20)</f>
        <v>499000</v>
      </c>
      <c r="E21" s="26">
        <f>('фин план'!D15*12*17446.18)-'фин план'!G15-'фин план'!I15</f>
        <v>-2.0000000076834112E-3</v>
      </c>
      <c r="F21" s="26">
        <f t="shared" si="0"/>
        <v>499000.00199999998</v>
      </c>
    </row>
    <row r="22" spans="1:6" ht="54.75" customHeight="1" x14ac:dyDescent="0.4">
      <c r="B22" s="126" t="s">
        <v>63</v>
      </c>
      <c r="C22" s="27" t="s">
        <v>102</v>
      </c>
      <c r="D22" s="28">
        <v>80000</v>
      </c>
    </row>
    <row r="23" spans="1:6" ht="54.75" customHeight="1" x14ac:dyDescent="0.4">
      <c r="B23" s="127"/>
      <c r="C23" s="30" t="s">
        <v>77</v>
      </c>
      <c r="D23" s="31">
        <v>20000</v>
      </c>
    </row>
    <row r="24" spans="1:6" ht="54.75" customHeight="1" x14ac:dyDescent="0.4">
      <c r="B24" s="127"/>
      <c r="C24" s="30" t="s">
        <v>103</v>
      </c>
      <c r="D24" s="31">
        <v>10000</v>
      </c>
    </row>
    <row r="25" spans="1:6" ht="121.5" customHeight="1" x14ac:dyDescent="0.4">
      <c r="B25" s="127"/>
      <c r="C25" s="30" t="s">
        <v>72</v>
      </c>
      <c r="D25" s="31">
        <v>16436.310000000001</v>
      </c>
    </row>
    <row r="26" spans="1:6" ht="54.75" customHeight="1" thickBot="1" x14ac:dyDescent="0.45">
      <c r="B26" s="128"/>
      <c r="C26" s="40" t="s">
        <v>35</v>
      </c>
      <c r="D26" s="35">
        <f>SUM(D22:D25)</f>
        <v>126436.31</v>
      </c>
      <c r="E26" s="26">
        <f>('фин план'!D7*12*17446.18)-'фин план'!G7-'фин план'!I7</f>
        <v>126436.31200000015</v>
      </c>
      <c r="F26" s="26">
        <f t="shared" si="0"/>
        <v>-2.0000001532025635E-3</v>
      </c>
    </row>
    <row r="27" spans="1:6" ht="141" customHeight="1" thickBot="1" x14ac:dyDescent="0.45">
      <c r="B27" s="46" t="str">
        <f>'фин план'!A13</f>
        <v>тех. обслуживание и ремонт электрических сетей и электрооборудования</v>
      </c>
      <c r="C27" s="27" t="s">
        <v>75</v>
      </c>
      <c r="D27" s="31">
        <v>65000</v>
      </c>
      <c r="E27" s="26">
        <f>('фин план'!D13*12*17446.18)-'фин план'!G13-'фин план'!I13</f>
        <v>64999.995936448184</v>
      </c>
      <c r="F27" s="26">
        <f t="shared" si="0"/>
        <v>4.0635518162162043E-3</v>
      </c>
    </row>
    <row r="28" spans="1:6" ht="135.75" customHeight="1" thickBot="1" x14ac:dyDescent="0.45">
      <c r="A28" s="36"/>
      <c r="B28" s="47" t="s">
        <v>10</v>
      </c>
      <c r="C28" s="42" t="s">
        <v>104</v>
      </c>
      <c r="D28" s="43">
        <v>55912.71</v>
      </c>
      <c r="E28" s="26">
        <f>('фин план'!D8*12*17446.18)-'фин план'!G8-'фин план'!I8</f>
        <v>55912.706399999995</v>
      </c>
      <c r="F28" s="26">
        <f t="shared" si="0"/>
        <v>3.6000000036437996E-3</v>
      </c>
    </row>
    <row r="29" spans="1:6" ht="128.25" customHeight="1" thickBot="1" x14ac:dyDescent="0.45">
      <c r="B29" s="44" t="str">
        <f>'фин план'!A17</f>
        <v>тех. обслуживание и ремонт  лифтов</v>
      </c>
      <c r="C29" s="24" t="s">
        <v>78</v>
      </c>
      <c r="D29" s="45">
        <v>71046.86</v>
      </c>
      <c r="E29" s="26">
        <f>('фин план'!D17*12*17446.18)-'фин план'!G17-'фин план'!I17</f>
        <v>71046.859999999986</v>
      </c>
      <c r="F29" s="26">
        <f t="shared" si="0"/>
        <v>0</v>
      </c>
    </row>
    <row r="30" spans="1:6" ht="226.5" thickBot="1" x14ac:dyDescent="0.45">
      <c r="B30" s="44" t="str">
        <f>'фин план'!A19</f>
        <v>техническое обслуживание внутридомовой системы газоснабжения</v>
      </c>
      <c r="C30" s="24" t="s">
        <v>74</v>
      </c>
      <c r="D30" s="45">
        <v>25000</v>
      </c>
      <c r="E30" s="26">
        <f>('фин план'!D19*12*17446.18)-'фин план'!G19-'фин план'!I19</f>
        <v>24999.996038084035</v>
      </c>
      <c r="F30" s="26">
        <f t="shared" si="0"/>
        <v>3.9619159651920199E-3</v>
      </c>
    </row>
    <row r="32" spans="1:6" x14ac:dyDescent="0.4">
      <c r="C32" s="48" t="s">
        <v>90</v>
      </c>
      <c r="D32" s="38">
        <f>D10+D15+D21+D26+D28+D27+D29+D30-'фин план'!J21</f>
        <v>0</v>
      </c>
    </row>
  </sheetData>
  <mergeCells count="5">
    <mergeCell ref="B16:B21"/>
    <mergeCell ref="B22:B26"/>
    <mergeCell ref="B3:C3"/>
    <mergeCell ref="B6:B10"/>
    <mergeCell ref="B11:B15"/>
  </mergeCells>
  <printOptions gridLines="1"/>
  <pageMargins left="0.17013888888888901" right="0.22013888888888899" top="0.17013888888888901" bottom="0.15972222222222199" header="0.51180555555555496" footer="0.51180555555555496"/>
  <pageSetup paperSize="9" scale="61" firstPageNumber="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фин план</vt:lpstr>
      <vt:lpstr>штатное расписание</vt:lpstr>
      <vt:lpstr>план работ</vt:lpstr>
      <vt:lpstr>Лист1</vt:lpstr>
      <vt:lpstr>Лист2</vt:lpstr>
      <vt:lpstr>Лист3</vt:lpstr>
      <vt:lpstr>Лист4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revision>1</cp:revision>
  <cp:lastPrinted>2020-07-10T10:47:09Z</cp:lastPrinted>
  <dcterms:created xsi:type="dcterms:W3CDTF">1996-10-09T02:32:33Z</dcterms:created>
  <dcterms:modified xsi:type="dcterms:W3CDTF">2020-07-15T08:47:30Z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